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100" yWindow="240" windowWidth="13215" windowHeight="11115"/>
  </bookViews>
  <sheets>
    <sheet name="Lisa 1" sheetId="1" r:id="rId1"/>
    <sheet name="Lisa 2" sheetId="4" r:id="rId2"/>
    <sheet name="Lisa 3" sheetId="2" r:id="rId3"/>
    <sheet name="Lisa 4" sheetId="3" r:id="rId4"/>
  </sheets>
  <definedNames>
    <definedName name="_xlnm.Print_Titles" localSheetId="2">'Lisa 3'!$4:$4</definedName>
    <definedName name="_xlnm.Print_Titles" localSheetId="3">'Lisa 4'!$12:$13</definedName>
  </definedNames>
  <calcPr calcId="125725"/>
</workbook>
</file>

<file path=xl/calcChain.xml><?xml version="1.0" encoding="utf-8"?>
<calcChain xmlns="http://schemas.openxmlformats.org/spreadsheetml/2006/main">
  <c r="G52" i="3"/>
  <c r="E52"/>
  <c r="D52"/>
  <c r="D84"/>
  <c r="F58"/>
  <c r="D48"/>
  <c r="D23"/>
  <c r="C121" i="2" l="1"/>
  <c r="C119"/>
  <c r="C118"/>
  <c r="C113"/>
  <c r="C111"/>
  <c r="C109"/>
  <c r="C107"/>
  <c r="C105"/>
  <c r="C102"/>
  <c r="C99"/>
  <c r="C94"/>
  <c r="C92"/>
  <c r="C90"/>
  <c r="C88"/>
  <c r="C85"/>
  <c r="C77"/>
  <c r="C73"/>
  <c r="C69"/>
  <c r="C67"/>
  <c r="C65"/>
  <c r="C62"/>
  <c r="C53"/>
  <c r="C51"/>
  <c r="C45"/>
  <c r="C36"/>
  <c r="C27"/>
  <c r="C25"/>
  <c r="C11"/>
  <c r="B18" i="4"/>
  <c r="B15"/>
  <c r="B12"/>
  <c r="B10"/>
  <c r="B9"/>
  <c r="C86" i="2"/>
  <c r="D15"/>
  <c r="C15"/>
  <c r="C20"/>
  <c r="D17"/>
  <c r="C17" l="1"/>
  <c r="D39" i="3" l="1"/>
  <c r="C32" i="2"/>
  <c r="C31"/>
  <c r="C29"/>
  <c r="C39" l="1"/>
  <c r="F82" i="3"/>
  <c r="G81"/>
  <c r="E81"/>
  <c r="D81"/>
  <c r="D50"/>
  <c r="D55"/>
  <c r="F25"/>
  <c r="F81" l="1"/>
  <c r="G8" l="1"/>
  <c r="C9" i="4" l="1"/>
  <c r="C18"/>
  <c r="D94" i="2"/>
  <c r="D92"/>
  <c r="D90"/>
  <c r="D88"/>
  <c r="D53"/>
  <c r="D123"/>
  <c r="D11"/>
  <c r="D71"/>
  <c r="D65"/>
  <c r="E53" i="3"/>
  <c r="G53"/>
  <c r="D53"/>
  <c r="C15" i="4"/>
  <c r="C10"/>
  <c r="F53" i="3" l="1"/>
  <c r="F17"/>
  <c r="D15"/>
  <c r="C14" i="4"/>
  <c r="B14"/>
  <c r="D9" i="2"/>
  <c r="D55"/>
  <c r="C55"/>
  <c r="D115"/>
  <c r="C115"/>
  <c r="D59"/>
  <c r="C59"/>
  <c r="D57"/>
  <c r="C57"/>
  <c r="D48" l="1"/>
  <c r="C48"/>
  <c r="D30"/>
  <c r="C30"/>
  <c r="D28"/>
  <c r="C28"/>
  <c r="C35"/>
  <c r="D32"/>
  <c r="C38"/>
  <c r="D37"/>
  <c r="D16"/>
  <c r="D14" s="1"/>
  <c r="C16"/>
  <c r="D19"/>
  <c r="C19"/>
  <c r="C13"/>
  <c r="E8" i="3"/>
  <c r="D8"/>
  <c r="E7"/>
  <c r="F123"/>
  <c r="G122"/>
  <c r="D122"/>
  <c r="F122" s="1"/>
  <c r="F116"/>
  <c r="F117"/>
  <c r="E115"/>
  <c r="D115"/>
  <c r="F104"/>
  <c r="C9" i="2" l="1"/>
  <c r="C47"/>
  <c r="C14"/>
  <c r="F8" i="3"/>
  <c r="C22" i="2"/>
  <c r="C23"/>
  <c r="C37"/>
  <c r="F89" i="3"/>
  <c r="E88"/>
  <c r="D88"/>
  <c r="E83"/>
  <c r="D83"/>
  <c r="F87"/>
  <c r="F86"/>
  <c r="F85"/>
  <c r="F78"/>
  <c r="G77"/>
  <c r="E77"/>
  <c r="D77"/>
  <c r="F91"/>
  <c r="G90"/>
  <c r="E90"/>
  <c r="D90"/>
  <c r="F64"/>
  <c r="D63"/>
  <c r="E67"/>
  <c r="F72"/>
  <c r="F71"/>
  <c r="D69"/>
  <c r="D7" s="1"/>
  <c r="F7" s="1"/>
  <c r="F70"/>
  <c r="F68"/>
  <c r="F65"/>
  <c r="F66"/>
  <c r="F61"/>
  <c r="G67"/>
  <c r="G63"/>
  <c r="E63"/>
  <c r="E60"/>
  <c r="D60"/>
  <c r="F38"/>
  <c r="F37"/>
  <c r="F34"/>
  <c r="F35"/>
  <c r="F36"/>
  <c r="F33"/>
  <c r="F16"/>
  <c r="F15" s="1"/>
  <c r="G15"/>
  <c r="E15"/>
  <c r="E18"/>
  <c r="G18"/>
  <c r="G14" s="1"/>
  <c r="C83" i="2"/>
  <c r="D82"/>
  <c r="C82"/>
  <c r="D103"/>
  <c r="C103"/>
  <c r="D83"/>
  <c r="D78"/>
  <c r="C78"/>
  <c r="D112"/>
  <c r="C112"/>
  <c r="D47"/>
  <c r="D50"/>
  <c r="C50"/>
  <c r="C6" l="1"/>
  <c r="C11" i="1"/>
  <c r="E14" i="3"/>
  <c r="D86" i="2"/>
  <c r="F69" i="3"/>
  <c r="F63"/>
  <c r="F88"/>
  <c r="D67"/>
  <c r="F67" s="1"/>
  <c r="F90"/>
  <c r="F77"/>
  <c r="F108"/>
  <c r="F107"/>
  <c r="G106"/>
  <c r="E106"/>
  <c r="D106"/>
  <c r="F46"/>
  <c r="F45" s="1"/>
  <c r="G45"/>
  <c r="E45"/>
  <c r="D45"/>
  <c r="G31"/>
  <c r="G118"/>
  <c r="G115" s="1"/>
  <c r="E47"/>
  <c r="G47"/>
  <c r="D47"/>
  <c r="F48"/>
  <c r="F47" s="1"/>
  <c r="G84"/>
  <c r="G7" s="1"/>
  <c r="F84"/>
  <c r="G6" l="1"/>
  <c r="D59"/>
  <c r="F83"/>
  <c r="F106"/>
  <c r="G83"/>
  <c r="C7" i="1" l="1"/>
  <c r="C11" i="4"/>
  <c r="B11"/>
  <c r="D12" i="2" l="1"/>
  <c r="C12"/>
  <c r="F56" i="3"/>
  <c r="F24"/>
  <c r="D42" i="2" l="1"/>
  <c r="C42"/>
  <c r="F19" i="3" l="1"/>
  <c r="F18" s="1"/>
  <c r="D18"/>
  <c r="D14" s="1"/>
  <c r="F14" s="1"/>
  <c r="F39"/>
  <c r="E31"/>
  <c r="D31"/>
  <c r="F32"/>
  <c r="F31" l="1"/>
  <c r="C23" i="1"/>
  <c r="E79" i="3"/>
  <c r="D79"/>
  <c r="E74"/>
  <c r="D74"/>
  <c r="C17" i="4"/>
  <c r="B17"/>
  <c r="C8"/>
  <c r="C5" s="1"/>
  <c r="B8"/>
  <c r="C6"/>
  <c r="B6"/>
  <c r="D132" i="2"/>
  <c r="C132"/>
  <c r="D129"/>
  <c r="C129"/>
  <c r="D127"/>
  <c r="C127"/>
  <c r="D124"/>
  <c r="C124"/>
  <c r="D122"/>
  <c r="C122"/>
  <c r="D120"/>
  <c r="C120"/>
  <c r="D117"/>
  <c r="C117"/>
  <c r="D116"/>
  <c r="C116"/>
  <c r="D110"/>
  <c r="C110"/>
  <c r="D108"/>
  <c r="C108"/>
  <c r="D106"/>
  <c r="C106"/>
  <c r="D100"/>
  <c r="C100"/>
  <c r="D97"/>
  <c r="C97"/>
  <c r="D95"/>
  <c r="C95"/>
  <c r="D93"/>
  <c r="C93"/>
  <c r="D91"/>
  <c r="C91"/>
  <c r="D89"/>
  <c r="C89"/>
  <c r="D84"/>
  <c r="C81"/>
  <c r="D76"/>
  <c r="C76"/>
  <c r="D74"/>
  <c r="C74"/>
  <c r="D72"/>
  <c r="C72"/>
  <c r="D70"/>
  <c r="C70"/>
  <c r="D68"/>
  <c r="C68"/>
  <c r="D66"/>
  <c r="C66"/>
  <c r="D63"/>
  <c r="C63"/>
  <c r="D61"/>
  <c r="C61"/>
  <c r="D56"/>
  <c r="C56"/>
  <c r="D46"/>
  <c r="D52"/>
  <c r="C52"/>
  <c r="C46"/>
  <c r="D26"/>
  <c r="D44"/>
  <c r="C44"/>
  <c r="D41"/>
  <c r="D40" s="1"/>
  <c r="C41"/>
  <c r="D34"/>
  <c r="C34"/>
  <c r="C26"/>
  <c r="D24"/>
  <c r="C24"/>
  <c r="D23"/>
  <c r="D7" s="1"/>
  <c r="D10"/>
  <c r="C10"/>
  <c r="D8"/>
  <c r="C8"/>
  <c r="E22" i="3"/>
  <c r="D22"/>
  <c r="E49"/>
  <c r="D49"/>
  <c r="E59"/>
  <c r="G74"/>
  <c r="G93"/>
  <c r="G113"/>
  <c r="G109"/>
  <c r="G102"/>
  <c r="E93"/>
  <c r="E102"/>
  <c r="E109"/>
  <c r="D109"/>
  <c r="E113"/>
  <c r="D113"/>
  <c r="F30"/>
  <c r="F50"/>
  <c r="F51"/>
  <c r="F54"/>
  <c r="F55"/>
  <c r="F57"/>
  <c r="F62"/>
  <c r="F75"/>
  <c r="F76"/>
  <c r="F80"/>
  <c r="F94"/>
  <c r="F95"/>
  <c r="F97"/>
  <c r="F98"/>
  <c r="F99"/>
  <c r="F100"/>
  <c r="F101"/>
  <c r="F103"/>
  <c r="F105"/>
  <c r="F110"/>
  <c r="F111"/>
  <c r="F112"/>
  <c r="F114"/>
  <c r="E29"/>
  <c r="D29"/>
  <c r="F23"/>
  <c r="F26"/>
  <c r="F27"/>
  <c r="F28"/>
  <c r="C84" i="2"/>
  <c r="C7" l="1"/>
  <c r="D21"/>
  <c r="B5" i="4"/>
  <c r="D73" i="3"/>
  <c r="C40" i="2"/>
  <c r="E92" i="3"/>
  <c r="G92"/>
  <c r="E73"/>
  <c r="E21"/>
  <c r="E20" s="1"/>
  <c r="D21"/>
  <c r="D20" s="1"/>
  <c r="D54" i="2"/>
  <c r="D6"/>
  <c r="D114"/>
  <c r="D81"/>
  <c r="F113" i="3"/>
  <c r="F29"/>
  <c r="F121"/>
  <c r="F102"/>
  <c r="C54" i="2"/>
  <c r="F49" i="3"/>
  <c r="F79"/>
  <c r="F74"/>
  <c r="C114" i="2"/>
  <c r="C21"/>
  <c r="F22" i="3"/>
  <c r="F60"/>
  <c r="F59"/>
  <c r="F109"/>
  <c r="B20" i="4" l="1"/>
  <c r="F73" i="3"/>
  <c r="C27" i="1" s="1"/>
  <c r="F20" i="3"/>
  <c r="C24" i="1" s="1"/>
  <c r="D5" i="2"/>
  <c r="C5"/>
  <c r="F52" i="3"/>
  <c r="C25" i="1" s="1"/>
  <c r="F21" i="3"/>
  <c r="F118"/>
  <c r="F115" s="1"/>
  <c r="E119"/>
  <c r="D120"/>
  <c r="D119" s="1"/>
  <c r="D93"/>
  <c r="D92" s="1"/>
  <c r="C20" i="4"/>
  <c r="C26" i="1"/>
  <c r="G120" i="3"/>
  <c r="G119" s="1"/>
  <c r="G79"/>
  <c r="G73" s="1"/>
  <c r="G60"/>
  <c r="G59" s="1"/>
  <c r="G49"/>
  <c r="G29"/>
  <c r="G22"/>
  <c r="C17" i="1"/>
  <c r="C16"/>
  <c r="C15"/>
  <c r="C14"/>
  <c r="C13"/>
  <c r="C12"/>
  <c r="C10"/>
  <c r="C33"/>
  <c r="C20"/>
  <c r="C6"/>
  <c r="C5"/>
  <c r="C4" l="1"/>
  <c r="F93" i="3"/>
  <c r="F92" s="1"/>
  <c r="C19" i="1"/>
  <c r="F120" i="3"/>
  <c r="E6"/>
  <c r="G21"/>
  <c r="G20" s="1"/>
  <c r="C9" i="1"/>
  <c r="D6" i="3" l="1"/>
  <c r="F6" s="1"/>
  <c r="C35" i="1"/>
  <c r="F119" i="3"/>
  <c r="C29" i="1" s="1"/>
  <c r="C28" l="1"/>
  <c r="C22" l="1"/>
  <c r="C31" s="1"/>
</calcChain>
</file>

<file path=xl/sharedStrings.xml><?xml version="1.0" encoding="utf-8"?>
<sst xmlns="http://schemas.openxmlformats.org/spreadsheetml/2006/main" count="425" uniqueCount="261">
  <si>
    <t>eurodes</t>
  </si>
  <si>
    <t>PÕHITEGEVUSE TULUD</t>
  </si>
  <si>
    <t>Kaupade ja teenuste müük</t>
  </si>
  <si>
    <t>Saadavad toetused jooksvateks kuludeks</t>
  </si>
  <si>
    <t>PÕHITEGEVUSE KULUD</t>
  </si>
  <si>
    <t>Üldised valitsussektori teenused</t>
  </si>
  <si>
    <t>Majandus</t>
  </si>
  <si>
    <t>Keskkonnakaitse</t>
  </si>
  <si>
    <t>Elamu- ja kommunaalmajandus</t>
  </si>
  <si>
    <t>Vaba aeg ja kultuur</t>
  </si>
  <si>
    <t>Haridus</t>
  </si>
  <si>
    <t>Sotsiaalne kaitse</t>
  </si>
  <si>
    <t>INVESTEERIMISTEGEVUSE TULUD</t>
  </si>
  <si>
    <t>Põhivara soetuseks saadav sihtfinantseerimine</t>
  </si>
  <si>
    <t>INVESTEERIMISTEGEVUSE KULUD</t>
  </si>
  <si>
    <t>EELARVE TULEM (ülejääk (+), puudujääk (-))</t>
  </si>
  <si>
    <t>LIKVIIDSETE VARADE MUUTUS
suurenemine (+), vähenemine (-)</t>
  </si>
  <si>
    <t>EELARVE KOGUMAHT</t>
  </si>
  <si>
    <t>T U L U B A A S</t>
  </si>
  <si>
    <t>sh avatud 
KOFS §26
alusel</t>
  </si>
  <si>
    <t xml:space="preserve">PÕHITEGEVUSE TULUD </t>
  </si>
  <si>
    <t>Saadavad toetused</t>
  </si>
  <si>
    <t>Saadud sihtotstarbelised toetused</t>
  </si>
  <si>
    <t>Saadud mittesihtotstarbelised toetused</t>
  </si>
  <si>
    <t>LIKVIIDSETE VARADE MUUTUS</t>
  </si>
  <si>
    <t>Raha ja pangakontode saldo muutus</t>
  </si>
  <si>
    <t xml:space="preserve">LINNA TULUBAAS  </t>
  </si>
  <si>
    <t>tegevusala 
kood</t>
  </si>
  <si>
    <t>tegevusala nimetus</t>
  </si>
  <si>
    <t>PÕHITEGEVUSE KULUD KOKKU, sh:</t>
  </si>
  <si>
    <t xml:space="preserve">   antavad toetused</t>
  </si>
  <si>
    <t xml:space="preserve">   muud tegevuskulud</t>
  </si>
  <si>
    <t>01</t>
  </si>
  <si>
    <t>Üldised valitsussektori teenused, sh:</t>
  </si>
  <si>
    <t xml:space="preserve">     muud tegevuskulud</t>
  </si>
  <si>
    <t>01112</t>
  </si>
  <si>
    <t>Linnavalitsus, sh:</t>
  </si>
  <si>
    <t>04</t>
  </si>
  <si>
    <t>Majandus, sh:</t>
  </si>
  <si>
    <t>04210</t>
  </si>
  <si>
    <t>Maakorraldus, sh:</t>
  </si>
  <si>
    <t>04510</t>
  </si>
  <si>
    <t>Linna teed ja tänavad, sh:</t>
  </si>
  <si>
    <t>04740</t>
  </si>
  <si>
    <t>Üldmajanduslikud arendusprojektid, sh:</t>
  </si>
  <si>
    <t xml:space="preserve">     antavad toetused</t>
  </si>
  <si>
    <t>05</t>
  </si>
  <si>
    <t>Keskkonnakaitse, sh:</t>
  </si>
  <si>
    <t>05100</t>
  </si>
  <si>
    <t>Jäätmekäitlus, sh:</t>
  </si>
  <si>
    <t>05400</t>
  </si>
  <si>
    <t>Haljastus, sh:</t>
  </si>
  <si>
    <t>06</t>
  </si>
  <si>
    <t>Elamu- ja kommunaakmajandus, sh:</t>
  </si>
  <si>
    <t>06605</t>
  </si>
  <si>
    <t>Muu elamu- ja kommunaalmajandus, sh:</t>
  </si>
  <si>
    <t>08</t>
  </si>
  <si>
    <t>Vaba aeg ja kultuur, sh:</t>
  </si>
  <si>
    <t>08105</t>
  </si>
  <si>
    <t>Laste huvikoolid, sh:</t>
  </si>
  <si>
    <t>08106</t>
  </si>
  <si>
    <t>Laste huvialamajad ja keskused, sh:</t>
  </si>
  <si>
    <t>08109</t>
  </si>
  <si>
    <t>Noorsoo- ja spordiprojektid, sh:</t>
  </si>
  <si>
    <t>08201</t>
  </si>
  <si>
    <t>Raamatukogud, sh:</t>
  </si>
  <si>
    <t>08202</t>
  </si>
  <si>
    <t>Rahva- ja kultuurimajad, sh:</t>
  </si>
  <si>
    <t>08203</t>
  </si>
  <si>
    <t>Muuseumid, sh:</t>
  </si>
  <si>
    <t>08207</t>
  </si>
  <si>
    <t>Muinsuskaitse, sh:</t>
  </si>
  <si>
    <t>08208</t>
  </si>
  <si>
    <t>Kultuuriüritused</t>
  </si>
  <si>
    <t>08600</t>
  </si>
  <si>
    <t>Muu vaba aeg, sh:</t>
  </si>
  <si>
    <t>09</t>
  </si>
  <si>
    <t>Haridus, sh:</t>
  </si>
  <si>
    <t>09110</t>
  </si>
  <si>
    <t>Koolieelsed lasteasutused, sh:</t>
  </si>
  <si>
    <t>09212</t>
  </si>
  <si>
    <t>Põhihariduse otsekulud, sh:</t>
  </si>
  <si>
    <t>09213</t>
  </si>
  <si>
    <t>Üldkeskhariduse otsekulud, sh:</t>
  </si>
  <si>
    <t>09220</t>
  </si>
  <si>
    <t>Põhi- ja üldkeskhariduse kaudsed kulud, sh:</t>
  </si>
  <si>
    <t>09221</t>
  </si>
  <si>
    <t>Täiskasvanute gümnaasiumide kaudsed kulud, sh:</t>
  </si>
  <si>
    <t>09222</t>
  </si>
  <si>
    <t>Kutseõppe kaudsed kulud, sh:</t>
  </si>
  <si>
    <t>09223</t>
  </si>
  <si>
    <t>Põhihariduse baasil kutseõppe otsekulud, sh:</t>
  </si>
  <si>
    <t>09300</t>
  </si>
  <si>
    <t>Keskhariduse baasil kutseõppe otsekulud, sh:</t>
  </si>
  <si>
    <t>09500</t>
  </si>
  <si>
    <t>Taseme alusel mittemääratletav haridus</t>
  </si>
  <si>
    <t>09601</t>
  </si>
  <si>
    <t>Koolitoit, sh:</t>
  </si>
  <si>
    <t>09602</t>
  </si>
  <si>
    <t>Öömaja, sh:</t>
  </si>
  <si>
    <t>09609</t>
  </si>
  <si>
    <t>Hariduse abiteenused, sh</t>
  </si>
  <si>
    <t>Muu puuetega inimeste sotsiaalne kaitse</t>
  </si>
  <si>
    <t>Eakate sotsiaalhoolekande asutused, sh:</t>
  </si>
  <si>
    <t>Laste ja noorte sotsiaalhoolekande asutused, sh:</t>
  </si>
  <si>
    <t>Muu perede ja laste sotsiaalne kaitse, sh:</t>
  </si>
  <si>
    <t>Riskirühmade sotsiaalhoolekande asutused, sh:</t>
  </si>
  <si>
    <t>Toimetulekutoetus, sh:</t>
  </si>
  <si>
    <t>Finantseerimisallikad</t>
  </si>
  <si>
    <t>Kokku</t>
  </si>
  <si>
    <t>sh avatud KOFS § 26 alusel</t>
  </si>
  <si>
    <t>linn</t>
  </si>
  <si>
    <t>toetused</t>
  </si>
  <si>
    <t>Investeerimistegevuse kulud  kokku</t>
  </si>
  <si>
    <t>Põhivara soetus</t>
  </si>
  <si>
    <t>PVS</t>
  </si>
  <si>
    <t>Põhivara soetuseks antav sihtfinantseerimine</t>
  </si>
  <si>
    <t>ASF</t>
  </si>
  <si>
    <t>Investeerimistegevuse kulud objektide ja finantseerimisallikate lõikes</t>
  </si>
  <si>
    <t>Tegevusala ja investeerimisobjekti nimetus</t>
  </si>
  <si>
    <t>KOKKU</t>
  </si>
  <si>
    <t xml:space="preserve">   Linna teed, tänavad, sillad</t>
  </si>
  <si>
    <t>Tänavate rekonstrueerimine ja ehitus</t>
  </si>
  <si>
    <t>Pargi tn</t>
  </si>
  <si>
    <t>Sildade rekonstrueerimine</t>
  </si>
  <si>
    <t>Võidu sild</t>
  </si>
  <si>
    <t xml:space="preserve">  Muu majandus</t>
  </si>
  <si>
    <t xml:space="preserve">   Haljastus</t>
  </si>
  <si>
    <t>Elamu ja kommunaalmajandus</t>
  </si>
  <si>
    <t xml:space="preserve">   Elamumajanduse arendamine</t>
  </si>
  <si>
    <t xml:space="preserve">Linnale kuuluvate elamute remont </t>
  </si>
  <si>
    <t>Vabaaeg ja kultuur</t>
  </si>
  <si>
    <t xml:space="preserve">   Laste huvialamajad ja keskused</t>
  </si>
  <si>
    <t>Lasteaedade köökide sisustamine</t>
  </si>
  <si>
    <t>Forseliuse Kool (Tähe 103)</t>
  </si>
  <si>
    <t xml:space="preserve">   Kutseõppe kaudsed kulud</t>
  </si>
  <si>
    <t>Kutsehariduskeskusele masinate ja seadmete soetus</t>
  </si>
  <si>
    <t xml:space="preserve">   Taseme alusel mittemääratletav haridus</t>
  </si>
  <si>
    <t>Põllu 11 parkla ja platside rajamine</t>
  </si>
  <si>
    <t xml:space="preserve">   Muu haridus</t>
  </si>
  <si>
    <t>Ettekirjutuste täitmine</t>
  </si>
  <si>
    <t>Jalg- ja jalgrattateed</t>
  </si>
  <si>
    <t>klassif</t>
  </si>
  <si>
    <t>TARTU LINNA 2015. a I LISAEELARVE
 I LISAEELARVE</t>
  </si>
  <si>
    <t>Tartu linna 2015. a I lisaeelarve</t>
  </si>
  <si>
    <t>Tartu linna 2015. a I lisaeelarve PÕHITEGEVUSE KULUD</t>
  </si>
  <si>
    <t>Tartu linna 2015. a I lisaeelarve
 INVESTEERIMISTEGEVUSE KULUD</t>
  </si>
  <si>
    <t>Muud tegevustulud</t>
  </si>
  <si>
    <t>Muud eespool nimetamata tulud</t>
  </si>
  <si>
    <t xml:space="preserve">   Muinsuskaitse</t>
  </si>
  <si>
    <t>Vabadussõja kangelaste memoriaali rajamine</t>
  </si>
  <si>
    <t xml:space="preserve">  Veetransport</t>
  </si>
  <si>
    <t>Sõpruse silla paadisadam</t>
  </si>
  <si>
    <t>Politseiplatsi teede ja valgustuse remont</t>
  </si>
  <si>
    <t xml:space="preserve">  Transpordikorraldus</t>
  </si>
  <si>
    <t>Projekt "Tartu linna ühistransporti toetavate süsteemide kaasajastamine"</t>
  </si>
  <si>
    <t xml:space="preserve">   Koolieelsed lasteasutused</t>
  </si>
  <si>
    <t xml:space="preserve">   Põhihariduse otsekulud -Põhikoolid</t>
  </si>
  <si>
    <t xml:space="preserve">   Põhi- ja üldkeskhariduse kaudsed kulud (nn torukoolid)</t>
  </si>
  <si>
    <t>Kutsehariduskeskus (Põllu 11) parkla rajamine</t>
  </si>
  <si>
    <t>Kutsehariduskeskus (Põllu 11) hoonete rekonstrueerimine</t>
  </si>
  <si>
    <t>06400</t>
  </si>
  <si>
    <t>09800</t>
  </si>
  <si>
    <t>Muu haridus, sh</t>
  </si>
  <si>
    <t xml:space="preserve">   Ühistegevuskulud</t>
  </si>
  <si>
    <t>Kaasav eelarve</t>
  </si>
  <si>
    <t>Kõnniteede äärekivide kõrguste korrigeerimine</t>
  </si>
  <si>
    <t>Emajõe kaldapiirete uuendamine</t>
  </si>
  <si>
    <t xml:space="preserve">   Linnavalitsus</t>
  </si>
  <si>
    <t>Linnavalitsuse IT vahendite soetus</t>
  </si>
  <si>
    <t>Vaksali 14 remont</t>
  </si>
  <si>
    <t xml:space="preserve">Vabaduse pst 4 </t>
  </si>
  <si>
    <t>Aardla tn FI bussipeatuse juures busside ümberpöörde koha rajamine</t>
  </si>
  <si>
    <t>Turu tänavale kahe ohutussaare ehitamine</t>
  </si>
  <si>
    <t>Turu tn sõidutee ehitus</t>
  </si>
  <si>
    <t>Turu tn kergliiklustee projekteerimine ja ehitamine</t>
  </si>
  <si>
    <t>Atlantise ujuvkai puitosa remont</t>
  </si>
  <si>
    <t>Kergliiklustee Suure Kaare tänavale (Raudtee tn-Tamme kool)</t>
  </si>
  <si>
    <t>rattaparklate rajamine</t>
  </si>
  <si>
    <t>projekteerimised, sh:</t>
  </si>
  <si>
    <t xml:space="preserve">Kreutzwaldi tn (lõigus Carolina-linna piir) </t>
  </si>
  <si>
    <t>Soola, Turu, Al-dri  tn ristmikud ja kergliiklustee</t>
  </si>
  <si>
    <t>Ülikooli tn</t>
  </si>
  <si>
    <t>Tiigi, Kastani, Vaksali</t>
  </si>
  <si>
    <t>Aardla-Raudtee-Soinaste ristmiku ehitus</t>
  </si>
  <si>
    <t>Jaamamõisa linnaosa mänguväljaku rajamine</t>
  </si>
  <si>
    <t>Vanemuise pargi korrastamine</t>
  </si>
  <si>
    <t>Saare tn pargiala korrastamine</t>
  </si>
  <si>
    <t xml:space="preserve">Linnale kuuluvate korterite remont </t>
  </si>
  <si>
    <t xml:space="preserve">   Tänavavalgustus</t>
  </si>
  <si>
    <t>Ropkapargi mängu- ja diskgolfiväljaku valgustuse korrastamine (proj ja ehitamine)</t>
  </si>
  <si>
    <t>Mäe treppide valgustamine</t>
  </si>
  <si>
    <t>Kalmistu 22 hoone puitosa renoveerimine</t>
  </si>
  <si>
    <t>Vanaululiste kalmistu Roosi tn värava remont</t>
  </si>
  <si>
    <t>Raadi ja Rahumäe kalmistute aedade remont</t>
  </si>
  <si>
    <t>Pauluse leinamaja põranda vahetus</t>
  </si>
  <si>
    <t>Puiestee kalmistu Jaani kabelisse jahutusseadmete ostmine</t>
  </si>
  <si>
    <t xml:space="preserve">   Muu elamu- ja kommunaaltegevus</t>
  </si>
  <si>
    <t>Ohtlike tänavavalgustusmastide vahetus</t>
  </si>
  <si>
    <t xml:space="preserve">  Spordibaasid</t>
  </si>
  <si>
    <t xml:space="preserve">Turu 8 Spordihoone veetorustiku rekonstrueerimine </t>
  </si>
  <si>
    <t>SAle Tartu Sport traktori soetamiseks Annelinna kunstmuruväljaku tarvis</t>
  </si>
  <si>
    <t xml:space="preserve">   Teatrid</t>
  </si>
  <si>
    <t xml:space="preserve">   Puhkepargid</t>
  </si>
  <si>
    <t>Anne Noortekeskus (Uus 56) akende vahetus</t>
  </si>
  <si>
    <t>SAle Tähtvere Puhkepark dendropargi arenduseks</t>
  </si>
  <si>
    <t>SAle Tartu Jaani Kirik peaportaali ehisviilu rekonstrueerimiseks</t>
  </si>
  <si>
    <t>SA-le Tartu Maarja Kirik hoone rekonstrueerimistööde projekteerimise lõpetamiseks</t>
  </si>
  <si>
    <t xml:space="preserve">Tartu Salemi Baptistikogudusele kiriku fassaadi remondiks </t>
  </si>
  <si>
    <t xml:space="preserve">   Muu vabaaeg ja kultuur</t>
  </si>
  <si>
    <t>Kalevi 13 fassaadi viimistlus</t>
  </si>
  <si>
    <t>Lasteaed Rukkilill (Sepa 18) mänguväljaku rajamine</t>
  </si>
  <si>
    <t>Lasteaed Mõmmik (Mõisavahe 32) avatäidete vahetus</t>
  </si>
  <si>
    <t>Lasteaed Sass (Aleksandri 10) õueala rekonstrueerimine</t>
  </si>
  <si>
    <t>Lasteaed Pääsupesa (Sõpruse pst 12) õueala rekonstrueerimine</t>
  </si>
  <si>
    <t>Lasteaed Triinu ja Taavi (Kaunase pst 67) ruumide rekonstrueerimine</t>
  </si>
  <si>
    <t>Lasteaed Krõll (Anne 67) ruumide rekonstrueerimine</t>
  </si>
  <si>
    <t>Karlova Kool (Lina 2)</t>
  </si>
  <si>
    <t>Tamme Kool (Tamme pst 24a)</t>
  </si>
  <si>
    <t>Masingu Kool (Riia 10)</t>
  </si>
  <si>
    <t>Tartu Waldorfkoolile piirdeaia ehitamiseks</t>
  </si>
  <si>
    <t xml:space="preserve">Rattaparklate rajamine koolidele </t>
  </si>
  <si>
    <t>Haridusasutuste rekonstrueerimistööde projekteerimised</t>
  </si>
  <si>
    <t xml:space="preserve">  Puuetega inimeste sotsiaalhoolekandeasutused</t>
  </si>
  <si>
    <t>Tartu Vaimse Tervise Hooldekeskuse (Nõlvaku 12) II etapi ehituse eskiisprojekt</t>
  </si>
  <si>
    <t xml:space="preserve">  Laste ja noorte sotsiaalhoolekandeasutused</t>
  </si>
  <si>
    <t xml:space="preserve">Laste Turvakodu (Tiigi 55) </t>
  </si>
  <si>
    <t>01600</t>
  </si>
  <si>
    <t>Ühistegevuskulud</t>
  </si>
  <si>
    <t>03</t>
  </si>
  <si>
    <t>Avalik kord, sh:</t>
  </si>
  <si>
    <t>03600</t>
  </si>
  <si>
    <t>Muu avalik kord</t>
  </si>
  <si>
    <t>04900</t>
  </si>
  <si>
    <t>Muu majandus, sh:</t>
  </si>
  <si>
    <t>04730</t>
  </si>
  <si>
    <t>Turism, sh:</t>
  </si>
  <si>
    <t>Liikluskorraldus, sh:</t>
  </si>
  <si>
    <t>04512</t>
  </si>
  <si>
    <t>Transpordikorraldus, sh:</t>
  </si>
  <si>
    <t>06300</t>
  </si>
  <si>
    <t>08102</t>
  </si>
  <si>
    <t>08103</t>
  </si>
  <si>
    <t>Spordibaasid, noortesport, sh:</t>
  </si>
  <si>
    <t>Veevarustus, sh:</t>
  </si>
  <si>
    <t>Tänavavalgustus, sh:</t>
  </si>
  <si>
    <t>Puhkepargid, sh:</t>
  </si>
  <si>
    <t>Muu sotsiaalne kaitse</t>
  </si>
  <si>
    <t>Avalik kord</t>
  </si>
  <si>
    <t>Tulud kultuuri- ja kunstialasest tegevusest</t>
  </si>
  <si>
    <t>Arhitektuuri ja ehituse osakonna arhiiviruumide remont</t>
  </si>
  <si>
    <t>Raadi dendropargi rekonstrueerimise projekteerimine</t>
  </si>
  <si>
    <t xml:space="preserve">   Raamatukogud</t>
  </si>
  <si>
    <t xml:space="preserve">O. Lutsu nim Linnaraamatukogu (Kompanii 3/5) lugejaala laiendamine </t>
  </si>
  <si>
    <t>Riia - Pepleri - Väike-Tähe ristmiku rekonstrueerimine</t>
  </si>
  <si>
    <t>03100</t>
  </si>
  <si>
    <t>Politsei</t>
  </si>
  <si>
    <t xml:space="preserve">Lasteaed Kivike (Kivi 44) </t>
  </si>
  <si>
    <t>OÜle Emajõe Suveteater  Karlova teatrimaja renoveerimiseks</t>
  </si>
  <si>
    <t>Kreuttzwaldi tn kergliiklustee projekteerimine ja ehitamine</t>
  </si>
  <si>
    <t>Riia tn raudteeviaduktialuse kergliiklustee tunnel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</si>
</sst>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Arial"/>
      <family val="2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Border="1" applyAlignment="1">
      <alignment wrapText="1"/>
    </xf>
    <xf numFmtId="3" fontId="3" fillId="0" borderId="0" xfId="0" applyNumberFormat="1" applyFont="1"/>
    <xf numFmtId="0" fontId="4" fillId="0" borderId="0" xfId="0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/>
    <xf numFmtId="3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 wrapText="1"/>
    </xf>
    <xf numFmtId="0" fontId="1" fillId="0" borderId="1" xfId="0" quotePrefix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3" fontId="1" fillId="0" borderId="0" xfId="0" applyNumberFormat="1" applyFont="1"/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1" fillId="0" borderId="0" xfId="0" applyFont="1" applyFill="1" applyAlignment="1"/>
    <xf numFmtId="0" fontId="7" fillId="0" borderId="2" xfId="0" applyFont="1" applyFill="1" applyBorder="1" applyAlignment="1">
      <alignment wrapText="1"/>
    </xf>
    <xf numFmtId="0" fontId="8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9" fillId="0" borderId="2" xfId="1" applyFont="1" applyBorder="1" applyAlignment="1">
      <alignment horizontal="left" wrapText="1"/>
    </xf>
    <xf numFmtId="3" fontId="11" fillId="0" borderId="2" xfId="0" applyNumberFormat="1" applyFont="1" applyFill="1" applyBorder="1"/>
    <xf numFmtId="0" fontId="1" fillId="0" borderId="2" xfId="1" applyFont="1" applyBorder="1" applyAlignment="1">
      <alignment horizontal="left" wrapText="1"/>
    </xf>
    <xf numFmtId="49" fontId="10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3" fontId="12" fillId="0" borderId="2" xfId="0" applyNumberFormat="1" applyFont="1" applyFill="1" applyBorder="1"/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3" fontId="13" fillId="0" borderId="2" xfId="0" applyNumberFormat="1" applyFont="1" applyFill="1" applyBorder="1"/>
    <xf numFmtId="3" fontId="15" fillId="0" borderId="2" xfId="0" applyNumberFormat="1" applyFont="1" applyFill="1" applyBorder="1"/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64" fontId="1" fillId="0" borderId="0" xfId="0" applyNumberFormat="1" applyFont="1" applyFill="1" applyBorder="1"/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right" wrapText="1"/>
    </xf>
    <xf numFmtId="3" fontId="0" fillId="0" borderId="0" xfId="0" applyNumberFormat="1"/>
    <xf numFmtId="0" fontId="2" fillId="0" borderId="0" xfId="0" applyFont="1" applyFill="1"/>
    <xf numFmtId="3" fontId="4" fillId="0" borderId="0" xfId="0" applyNumberFormat="1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1" fillId="0" borderId="2" xfId="0" applyFont="1" applyBorder="1" applyAlignment="1"/>
    <xf numFmtId="16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/>
    </xf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topLeftCell="A10" workbookViewId="0">
      <selection activeCell="E33" sqref="E33"/>
    </sheetView>
  </sheetViews>
  <sheetFormatPr defaultRowHeight="15"/>
  <cols>
    <col min="2" max="2" width="46.28515625" customWidth="1"/>
    <col min="3" max="3" width="12.7109375" customWidth="1"/>
    <col min="5" max="5" width="9.5703125" bestFit="1" customWidth="1"/>
  </cols>
  <sheetData>
    <row r="1" spans="2:3">
      <c r="B1" s="94" t="s">
        <v>143</v>
      </c>
      <c r="C1" s="95"/>
    </row>
    <row r="2" spans="2:3">
      <c r="B2" s="1"/>
      <c r="C2" s="1"/>
    </row>
    <row r="3" spans="2:3">
      <c r="B3" s="2"/>
      <c r="C3" s="3" t="s">
        <v>0</v>
      </c>
    </row>
    <row r="4" spans="2:3">
      <c r="B4" s="4" t="s">
        <v>1</v>
      </c>
      <c r="C4" s="5">
        <f>SUM(C5:C7)</f>
        <v>2548482</v>
      </c>
    </row>
    <row r="5" spans="2:3">
      <c r="B5" s="2" t="s">
        <v>2</v>
      </c>
      <c r="C5" s="6">
        <f>SUM('Lisa 2'!B6)</f>
        <v>6300</v>
      </c>
    </row>
    <row r="6" spans="2:3">
      <c r="B6" s="2" t="s">
        <v>3</v>
      </c>
      <c r="C6" s="6">
        <f>SUM('Lisa 2'!B8)</f>
        <v>2527355</v>
      </c>
    </row>
    <row r="7" spans="2:3">
      <c r="B7" s="2" t="s">
        <v>147</v>
      </c>
      <c r="C7" s="6">
        <f>SUM('Lisa 2'!B11)</f>
        <v>14827</v>
      </c>
    </row>
    <row r="8" spans="2:3">
      <c r="B8" s="2"/>
      <c r="C8" s="6"/>
    </row>
    <row r="9" spans="2:3">
      <c r="B9" s="4" t="s">
        <v>4</v>
      </c>
      <c r="C9" s="5">
        <f>SUM(C10:C17)</f>
        <v>4650354</v>
      </c>
    </row>
    <row r="10" spans="2:3">
      <c r="B10" s="2" t="s">
        <v>5</v>
      </c>
      <c r="C10" s="6">
        <f>SUM('Lisa 3'!C8)</f>
        <v>101624</v>
      </c>
    </row>
    <row r="11" spans="2:3">
      <c r="B11" s="2" t="s">
        <v>248</v>
      </c>
      <c r="C11" s="6">
        <f>SUM('Lisa 3'!C14)</f>
        <v>11352</v>
      </c>
    </row>
    <row r="12" spans="2:3">
      <c r="B12" s="2" t="s">
        <v>6</v>
      </c>
      <c r="C12" s="6">
        <f>SUM('Lisa 3'!C21)</f>
        <v>449393</v>
      </c>
    </row>
    <row r="13" spans="2:3">
      <c r="B13" s="2" t="s">
        <v>7</v>
      </c>
      <c r="C13" s="6">
        <f>SUM('Lisa 3'!C40)</f>
        <v>51318</v>
      </c>
    </row>
    <row r="14" spans="2:3">
      <c r="B14" s="2" t="s">
        <v>8</v>
      </c>
      <c r="C14" s="6">
        <f>SUM('Lisa 3'!C46)</f>
        <v>67497</v>
      </c>
    </row>
    <row r="15" spans="2:3">
      <c r="B15" s="2" t="s">
        <v>9</v>
      </c>
      <c r="C15" s="6">
        <f>SUM('Lisa 3'!C54)</f>
        <v>180369</v>
      </c>
    </row>
    <row r="16" spans="2:3">
      <c r="B16" s="2" t="s">
        <v>10</v>
      </c>
      <c r="C16" s="6">
        <f>SUM('Lisa 3'!C81)</f>
        <v>3396691</v>
      </c>
    </row>
    <row r="17" spans="2:3">
      <c r="B17" s="2" t="s">
        <v>11</v>
      </c>
      <c r="C17" s="6">
        <f>SUM('Lisa 3'!C114)</f>
        <v>392110</v>
      </c>
    </row>
    <row r="18" spans="2:3">
      <c r="B18" s="2"/>
      <c r="C18" s="6"/>
    </row>
    <row r="19" spans="2:3">
      <c r="B19" s="4" t="s">
        <v>12</v>
      </c>
      <c r="C19" s="5">
        <f>SUM(C20:C20)</f>
        <v>454698</v>
      </c>
    </row>
    <row r="20" spans="2:3">
      <c r="B20" s="7" t="s">
        <v>13</v>
      </c>
      <c r="C20" s="6">
        <f>SUM('Lisa 2'!B15)</f>
        <v>454698</v>
      </c>
    </row>
    <row r="21" spans="2:3">
      <c r="B21" s="2"/>
      <c r="C21" s="6"/>
    </row>
    <row r="22" spans="2:3">
      <c r="B22" s="4" t="s">
        <v>14</v>
      </c>
      <c r="C22" s="5">
        <f>SUM(C23:C29)</f>
        <v>3644323</v>
      </c>
    </row>
    <row r="23" spans="2:3">
      <c r="B23" s="2" t="s">
        <v>5</v>
      </c>
      <c r="C23" s="6">
        <f>SUM('Lisa 4'!F14)</f>
        <v>-71000</v>
      </c>
    </row>
    <row r="24" spans="2:3">
      <c r="B24" s="2" t="s">
        <v>6</v>
      </c>
      <c r="C24" s="6">
        <f>SUM('Lisa 4'!F20)</f>
        <v>1786946</v>
      </c>
    </row>
    <row r="25" spans="2:3">
      <c r="B25" s="2" t="s">
        <v>7</v>
      </c>
      <c r="C25" s="6">
        <f>SUM('Lisa 4'!F52)</f>
        <v>307233</v>
      </c>
    </row>
    <row r="26" spans="2:3">
      <c r="B26" s="2" t="s">
        <v>8</v>
      </c>
      <c r="C26" s="6">
        <f>SUM('Lisa 4'!F59)</f>
        <v>62287</v>
      </c>
    </row>
    <row r="27" spans="2:3">
      <c r="B27" s="2" t="s">
        <v>9</v>
      </c>
      <c r="C27" s="6">
        <f>SUM('Lisa 4'!F73)</f>
        <v>282929</v>
      </c>
    </row>
    <row r="28" spans="2:3">
      <c r="B28" s="2" t="s">
        <v>10</v>
      </c>
      <c r="C28" s="6">
        <f>SUM('Lisa 4'!F92)</f>
        <v>1247928</v>
      </c>
    </row>
    <row r="29" spans="2:3">
      <c r="B29" s="2" t="s">
        <v>11</v>
      </c>
      <c r="C29" s="6">
        <f>SUM('Lisa 4'!F119)</f>
        <v>28000</v>
      </c>
    </row>
    <row r="30" spans="2:3">
      <c r="B30" s="2"/>
      <c r="C30" s="6"/>
    </row>
    <row r="31" spans="2:3" ht="29.25">
      <c r="B31" s="8" t="s">
        <v>15</v>
      </c>
      <c r="C31" s="5">
        <f>C4-C9+C19-C22</f>
        <v>-5291497</v>
      </c>
    </row>
    <row r="32" spans="2:3">
      <c r="B32" s="2"/>
      <c r="C32" s="5"/>
    </row>
    <row r="33" spans="2:5" ht="29.25">
      <c r="B33" s="8" t="s">
        <v>16</v>
      </c>
      <c r="C33" s="5">
        <f>SUM('Lisa 2'!B18)</f>
        <v>-5291497</v>
      </c>
      <c r="E33" s="91"/>
    </row>
    <row r="34" spans="2:5">
      <c r="B34" s="2"/>
      <c r="C34" s="6"/>
    </row>
    <row r="35" spans="2:5">
      <c r="B35" s="4" t="s">
        <v>17</v>
      </c>
      <c r="C35" s="5">
        <f>C4+C19-C33</f>
        <v>8294677</v>
      </c>
    </row>
    <row r="36" spans="2:5">
      <c r="C36" s="9"/>
    </row>
  </sheetData>
  <mergeCells count="1">
    <mergeCell ref="B1:C1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alignWithMargins="0">
    <oddHeader>&amp;RLisa 1
Tartu Linnavolikogu   2015. a 
määruse nr juurde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20" sqref="B20"/>
    </sheetView>
  </sheetViews>
  <sheetFormatPr defaultRowHeight="14.25"/>
  <cols>
    <col min="1" max="1" width="44.85546875" style="10" customWidth="1"/>
    <col min="2" max="2" width="14.7109375" style="10" customWidth="1"/>
    <col min="3" max="3" width="11.140625" style="10" customWidth="1"/>
    <col min="4" max="4" width="10.85546875" style="10" bestFit="1" customWidth="1"/>
    <col min="5" max="16384" width="9.140625" style="10"/>
  </cols>
  <sheetData>
    <row r="1" spans="1:6" ht="15">
      <c r="A1" s="95" t="s">
        <v>144</v>
      </c>
      <c r="B1" s="95"/>
      <c r="C1" s="96"/>
    </row>
    <row r="2" spans="1:6" ht="15">
      <c r="A2" s="95" t="s">
        <v>18</v>
      </c>
      <c r="B2" s="95"/>
      <c r="C2" s="96"/>
    </row>
    <row r="3" spans="1:6" ht="15">
      <c r="A3" s="1"/>
      <c r="B3" s="11"/>
    </row>
    <row r="4" spans="1:6" ht="38.25">
      <c r="A4" s="12"/>
      <c r="B4" s="13" t="s">
        <v>0</v>
      </c>
      <c r="C4" s="19" t="s">
        <v>19</v>
      </c>
    </row>
    <row r="5" spans="1:6" ht="19.5" customHeight="1">
      <c r="A5" s="4" t="s">
        <v>20</v>
      </c>
      <c r="B5" s="5">
        <f>SUM(,B6,B8,B11)</f>
        <v>2548482</v>
      </c>
      <c r="C5" s="5">
        <f>SUM(,C6,C8,C11)</f>
        <v>1826487</v>
      </c>
      <c r="D5" s="18"/>
    </row>
    <row r="6" spans="1:6">
      <c r="A6" s="4" t="s">
        <v>2</v>
      </c>
      <c r="B6" s="5">
        <f>SUM(B7)</f>
        <v>6300</v>
      </c>
      <c r="C6" s="5">
        <f>SUM(C7)</f>
        <v>0</v>
      </c>
      <c r="D6" s="18"/>
    </row>
    <row r="7" spans="1:6" ht="15">
      <c r="A7" s="14" t="s">
        <v>249</v>
      </c>
      <c r="B7" s="6">
        <v>6300</v>
      </c>
      <c r="C7" s="6"/>
      <c r="D7" s="18"/>
    </row>
    <row r="8" spans="1:6">
      <c r="A8" s="4" t="s">
        <v>21</v>
      </c>
      <c r="B8" s="5">
        <f>SUM(B9:B10)</f>
        <v>2527355</v>
      </c>
      <c r="C8" s="5">
        <f>SUM(C9:C10)</f>
        <v>1821487</v>
      </c>
      <c r="D8" s="18"/>
    </row>
    <row r="9" spans="1:6" ht="15">
      <c r="A9" s="14" t="s">
        <v>22</v>
      </c>
      <c r="B9" s="6">
        <f>525000+10431+86044</f>
        <v>621475</v>
      </c>
      <c r="C9" s="6">
        <f>500+78140+5910-2229+186+1775+1762</f>
        <v>86044</v>
      </c>
      <c r="D9" s="18"/>
      <c r="F9" s="18"/>
    </row>
    <row r="10" spans="1:6" ht="15">
      <c r="A10" s="14" t="s">
        <v>23</v>
      </c>
      <c r="B10" s="6">
        <f>170437+1735443</f>
        <v>1905880</v>
      </c>
      <c r="C10" s="6">
        <f>605229+1130214</f>
        <v>1735443</v>
      </c>
      <c r="D10" s="18"/>
      <c r="F10" s="18"/>
    </row>
    <row r="11" spans="1:6">
      <c r="A11" s="8" t="s">
        <v>147</v>
      </c>
      <c r="B11" s="5">
        <f>SUM(B12)</f>
        <v>14827</v>
      </c>
      <c r="C11" s="5">
        <f>SUM(C12)</f>
        <v>5000</v>
      </c>
      <c r="D11" s="18"/>
      <c r="F11" s="18"/>
    </row>
    <row r="12" spans="1:6" ht="15">
      <c r="A12" s="14" t="s">
        <v>148</v>
      </c>
      <c r="B12" s="6">
        <f>242+9233+352+5000</f>
        <v>14827</v>
      </c>
      <c r="C12" s="6">
        <v>5000</v>
      </c>
      <c r="D12" s="18"/>
      <c r="F12" s="18"/>
    </row>
    <row r="13" spans="1:6" ht="15">
      <c r="A13" s="14"/>
      <c r="B13" s="5"/>
      <c r="C13" s="5"/>
      <c r="D13" s="18"/>
      <c r="F13" s="18"/>
    </row>
    <row r="14" spans="1:6" ht="18" customHeight="1">
      <c r="A14" s="4" t="s">
        <v>12</v>
      </c>
      <c r="B14" s="5">
        <f>SUM(B15)</f>
        <v>454698</v>
      </c>
      <c r="C14" s="5">
        <f>SUM(C15)</f>
        <v>-522783</v>
      </c>
      <c r="D14" s="18"/>
      <c r="F14" s="18"/>
    </row>
    <row r="15" spans="1:6" ht="15">
      <c r="A15" s="7" t="s">
        <v>13</v>
      </c>
      <c r="B15" s="6">
        <f>977481-522783</f>
        <v>454698</v>
      </c>
      <c r="C15" s="6">
        <f>7833+-530616</f>
        <v>-522783</v>
      </c>
      <c r="D15" s="18"/>
      <c r="F15" s="18"/>
    </row>
    <row r="16" spans="1:6" ht="15">
      <c r="A16" s="15"/>
      <c r="B16" s="5"/>
      <c r="C16" s="5"/>
      <c r="D16" s="18"/>
    </row>
    <row r="17" spans="1:4">
      <c r="A17" s="4" t="s">
        <v>24</v>
      </c>
      <c r="B17" s="5">
        <f>SUM(B18)</f>
        <v>-5291497</v>
      </c>
      <c r="C17" s="5">
        <f>SUM(C18)</f>
        <v>-2201591</v>
      </c>
      <c r="D17" s="18"/>
    </row>
    <row r="18" spans="1:4" ht="15">
      <c r="A18" s="14" t="s">
        <v>25</v>
      </c>
      <c r="B18" s="6">
        <f>-3089906-2201591</f>
        <v>-5291497</v>
      </c>
      <c r="C18" s="6">
        <f>1762-2203353</f>
        <v>-2201591</v>
      </c>
      <c r="D18" s="18"/>
    </row>
    <row r="19" spans="1:4" ht="15">
      <c r="A19" s="2"/>
      <c r="B19" s="5"/>
      <c r="C19" s="5"/>
      <c r="D19" s="18"/>
    </row>
    <row r="20" spans="1:4">
      <c r="A20" s="4" t="s">
        <v>26</v>
      </c>
      <c r="B20" s="5">
        <f>SUM(B5,B14)-B17</f>
        <v>8294677</v>
      </c>
      <c r="C20" s="5">
        <f>SUM(C5,C14)-C17</f>
        <v>3505295</v>
      </c>
      <c r="D20" s="18"/>
    </row>
    <row r="21" spans="1:4" ht="15">
      <c r="A21" s="16"/>
      <c r="B21" s="16"/>
    </row>
    <row r="22" spans="1:4">
      <c r="A22" s="17"/>
      <c r="B22" s="93"/>
      <c r="C22" s="18"/>
    </row>
    <row r="24" spans="1:4">
      <c r="B24" s="18"/>
    </row>
  </sheetData>
  <mergeCells count="2">
    <mergeCell ref="A2:C2"/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2
Tartu Linnavolikogu   2015. a 
määruse nr juurde</oddHeader>
    <oddFooter xml:space="preserve">&amp;C&amp;P+1
</oddFooter>
    <firstFooter>&amp;C&amp;P-9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3"/>
  <sheetViews>
    <sheetView workbookViewId="0">
      <selection activeCell="G17" sqref="G17"/>
    </sheetView>
  </sheetViews>
  <sheetFormatPr defaultRowHeight="15"/>
  <cols>
    <col min="1" max="1" width="9.85546875" style="20" customWidth="1"/>
    <col min="2" max="2" width="44.7109375" style="1" bestFit="1" customWidth="1"/>
    <col min="3" max="3" width="12.7109375" style="28" customWidth="1"/>
    <col min="4" max="4" width="14" style="1" customWidth="1"/>
    <col min="5" max="16384" width="9.140625" style="1"/>
  </cols>
  <sheetData>
    <row r="1" spans="1:4">
      <c r="A1" s="97"/>
      <c r="B1" s="96"/>
      <c r="C1" s="96"/>
      <c r="D1" s="96"/>
    </row>
    <row r="2" spans="1:4">
      <c r="B2" s="95" t="s">
        <v>145</v>
      </c>
      <c r="C2" s="95"/>
    </row>
    <row r="3" spans="1:4">
      <c r="C3" s="11"/>
    </row>
    <row r="4" spans="1:4" ht="38.25">
      <c r="A4" s="21" t="s">
        <v>27</v>
      </c>
      <c r="B4" s="12" t="s">
        <v>28</v>
      </c>
      <c r="C4" s="13" t="s">
        <v>0</v>
      </c>
      <c r="D4" s="19" t="s">
        <v>19</v>
      </c>
    </row>
    <row r="5" spans="1:4">
      <c r="A5" s="22"/>
      <c r="B5" s="4" t="s">
        <v>29</v>
      </c>
      <c r="C5" s="23">
        <f>SUM(C6:C7)</f>
        <v>4650354</v>
      </c>
      <c r="D5" s="23">
        <f>SUM(D6:D7)</f>
        <v>2796084</v>
      </c>
    </row>
    <row r="6" spans="1:4">
      <c r="A6" s="22"/>
      <c r="B6" s="4" t="s">
        <v>30</v>
      </c>
      <c r="C6" s="23">
        <f>SUM(C15,C22,C55,C82,C115)</f>
        <v>695815</v>
      </c>
      <c r="D6" s="23">
        <f>SUM(D22,D55,D82,D115)</f>
        <v>604285</v>
      </c>
    </row>
    <row r="7" spans="1:4">
      <c r="A7" s="22"/>
      <c r="B7" s="4" t="s">
        <v>31</v>
      </c>
      <c r="C7" s="23">
        <f>SUM(C9,C16,C23,C41,C47,C56,C83,C116)</f>
        <v>3954539</v>
      </c>
      <c r="D7" s="23">
        <f>SUM(D9,D16,D23,D41,D47,D56,D83,D116)</f>
        <v>2191799</v>
      </c>
    </row>
    <row r="8" spans="1:4">
      <c r="A8" s="24" t="s">
        <v>32</v>
      </c>
      <c r="B8" s="4" t="s">
        <v>33</v>
      </c>
      <c r="C8" s="23">
        <f>SUM(C9)</f>
        <v>101624</v>
      </c>
      <c r="D8" s="23">
        <f>SUM(D9)</f>
        <v>11600</v>
      </c>
    </row>
    <row r="9" spans="1:4">
      <c r="A9" s="22"/>
      <c r="B9" s="4" t="s">
        <v>31</v>
      </c>
      <c r="C9" s="23">
        <f>SUM(C11,C13)</f>
        <v>101624</v>
      </c>
      <c r="D9" s="23">
        <f>SUM(D11,D13)</f>
        <v>11600</v>
      </c>
    </row>
    <row r="10" spans="1:4">
      <c r="A10" s="25" t="s">
        <v>35</v>
      </c>
      <c r="B10" s="2" t="s">
        <v>36</v>
      </c>
      <c r="C10" s="26">
        <f>SUM(C11)</f>
        <v>94124</v>
      </c>
      <c r="D10" s="26">
        <f>SUM(D11)</f>
        <v>11600</v>
      </c>
    </row>
    <row r="11" spans="1:4">
      <c r="A11" s="22"/>
      <c r="B11" s="2" t="s">
        <v>34</v>
      </c>
      <c r="C11" s="26">
        <f>83000+2024-2500+11600</f>
        <v>94124</v>
      </c>
      <c r="D11" s="26">
        <f>500+11000+100</f>
        <v>11600</v>
      </c>
    </row>
    <row r="12" spans="1:4">
      <c r="A12" s="25" t="s">
        <v>227</v>
      </c>
      <c r="B12" s="2" t="s">
        <v>228</v>
      </c>
      <c r="C12" s="26">
        <f>SUM(C13)</f>
        <v>7500</v>
      </c>
      <c r="D12" s="26">
        <f>SUM(D13)</f>
        <v>0</v>
      </c>
    </row>
    <row r="13" spans="1:4">
      <c r="A13" s="22"/>
      <c r="B13" s="2" t="s">
        <v>34</v>
      </c>
      <c r="C13" s="26">
        <f>7500</f>
        <v>7500</v>
      </c>
      <c r="D13" s="26"/>
    </row>
    <row r="14" spans="1:4">
      <c r="A14" s="24" t="s">
        <v>229</v>
      </c>
      <c r="B14" s="4" t="s">
        <v>230</v>
      </c>
      <c r="C14" s="23">
        <f>SUM(C15:C16)</f>
        <v>11352</v>
      </c>
      <c r="D14" s="23">
        <f>SUM(D15:D16)</f>
        <v>0</v>
      </c>
    </row>
    <row r="15" spans="1:4">
      <c r="A15" s="24"/>
      <c r="B15" s="4" t="s">
        <v>30</v>
      </c>
      <c r="C15" s="23">
        <f>SUM(C18)</f>
        <v>3352</v>
      </c>
      <c r="D15" s="23">
        <f>SUM(D18)</f>
        <v>0</v>
      </c>
    </row>
    <row r="16" spans="1:4">
      <c r="A16" s="22"/>
      <c r="B16" s="4" t="s">
        <v>31</v>
      </c>
      <c r="C16" s="23">
        <f>SUM(C20)</f>
        <v>8000</v>
      </c>
      <c r="D16" s="23">
        <f>SUM(D20)</f>
        <v>0</v>
      </c>
    </row>
    <row r="17" spans="1:4">
      <c r="A17" s="25" t="s">
        <v>255</v>
      </c>
      <c r="B17" s="2" t="s">
        <v>256</v>
      </c>
      <c r="C17" s="26">
        <f>SUM(C18)</f>
        <v>3352</v>
      </c>
      <c r="D17" s="26">
        <f>SUM(D18)</f>
        <v>0</v>
      </c>
    </row>
    <row r="18" spans="1:4">
      <c r="A18" s="22"/>
      <c r="B18" s="2" t="s">
        <v>45</v>
      </c>
      <c r="C18" s="26">
        <v>3352</v>
      </c>
      <c r="D18" s="26"/>
    </row>
    <row r="19" spans="1:4">
      <c r="A19" s="25" t="s">
        <v>231</v>
      </c>
      <c r="B19" s="2" t="s">
        <v>232</v>
      </c>
      <c r="C19" s="26">
        <f>SUM(C20)</f>
        <v>8000</v>
      </c>
      <c r="D19" s="26">
        <f>SUM(D20)</f>
        <v>0</v>
      </c>
    </row>
    <row r="20" spans="1:4">
      <c r="A20" s="22"/>
      <c r="B20" s="2" t="s">
        <v>34</v>
      </c>
      <c r="C20" s="26">
        <f>8000</f>
        <v>8000</v>
      </c>
      <c r="D20" s="26"/>
    </row>
    <row r="21" spans="1:4">
      <c r="A21" s="24" t="s">
        <v>37</v>
      </c>
      <c r="B21" s="4" t="s">
        <v>38</v>
      </c>
      <c r="C21" s="23">
        <f>SUM(C22:C23)</f>
        <v>449393</v>
      </c>
      <c r="D21" s="23">
        <f>SUM(D22:D23)</f>
        <v>27062</v>
      </c>
    </row>
    <row r="22" spans="1:4">
      <c r="A22" s="24"/>
      <c r="B22" s="4" t="s">
        <v>30</v>
      </c>
      <c r="C22" s="23">
        <f>SUM(C35,C38)</f>
        <v>38778</v>
      </c>
      <c r="D22" s="23">
        <v>0</v>
      </c>
    </row>
    <row r="23" spans="1:4">
      <c r="A23" s="22"/>
      <c r="B23" s="4" t="s">
        <v>31</v>
      </c>
      <c r="C23" s="23">
        <f>SUM(C25,C29,C31,C33,C36,C27,C39)</f>
        <v>410615</v>
      </c>
      <c r="D23" s="23">
        <f>SUM(D25,D36,D27)</f>
        <v>27062</v>
      </c>
    </row>
    <row r="24" spans="1:4">
      <c r="A24" s="25" t="s">
        <v>39</v>
      </c>
      <c r="B24" s="2" t="s">
        <v>40</v>
      </c>
      <c r="C24" s="26">
        <f>SUM(C25)</f>
        <v>12867</v>
      </c>
      <c r="D24" s="26">
        <f>SUM(D25)</f>
        <v>10213</v>
      </c>
    </row>
    <row r="25" spans="1:4">
      <c r="A25" s="22"/>
      <c r="B25" s="2" t="s">
        <v>34</v>
      </c>
      <c r="C25" s="26">
        <f>2654+10213</f>
        <v>12867</v>
      </c>
      <c r="D25" s="26">
        <v>10213</v>
      </c>
    </row>
    <row r="26" spans="1:4">
      <c r="A26" s="25" t="s">
        <v>41</v>
      </c>
      <c r="B26" s="2" t="s">
        <v>42</v>
      </c>
      <c r="C26" s="26">
        <f>SUM(C27)</f>
        <v>245794</v>
      </c>
      <c r="D26" s="26">
        <f>SUM(D27)</f>
        <v>420</v>
      </c>
    </row>
    <row r="27" spans="1:4">
      <c r="A27" s="22"/>
      <c r="B27" s="2" t="s">
        <v>34</v>
      </c>
      <c r="C27" s="26">
        <f>10000+235374+420</f>
        <v>245794</v>
      </c>
      <c r="D27" s="26">
        <v>420</v>
      </c>
    </row>
    <row r="28" spans="1:4">
      <c r="A28" s="25" t="s">
        <v>41</v>
      </c>
      <c r="B28" s="2" t="s">
        <v>237</v>
      </c>
      <c r="C28" s="26">
        <f>SUM(C29)</f>
        <v>37600</v>
      </c>
      <c r="D28" s="26">
        <f>SUM(D29)</f>
        <v>0</v>
      </c>
    </row>
    <row r="29" spans="1:4">
      <c r="A29" s="22"/>
      <c r="B29" s="2" t="s">
        <v>34</v>
      </c>
      <c r="C29" s="26">
        <f>-53000+65000+16000+9600</f>
        <v>37600</v>
      </c>
      <c r="D29" s="26"/>
    </row>
    <row r="30" spans="1:4">
      <c r="A30" s="25" t="s">
        <v>238</v>
      </c>
      <c r="B30" s="2" t="s">
        <v>239</v>
      </c>
      <c r="C30" s="26">
        <f>SUM(C31)</f>
        <v>20400</v>
      </c>
      <c r="D30" s="26">
        <f>SUM(D31)</f>
        <v>0</v>
      </c>
    </row>
    <row r="31" spans="1:4">
      <c r="A31" s="22"/>
      <c r="B31" s="2" t="s">
        <v>34</v>
      </c>
      <c r="C31" s="26">
        <f>5000+20400-5000</f>
        <v>20400</v>
      </c>
      <c r="D31" s="26"/>
    </row>
    <row r="32" spans="1:4">
      <c r="A32" s="25" t="s">
        <v>235</v>
      </c>
      <c r="B32" s="2" t="s">
        <v>236</v>
      </c>
      <c r="C32" s="26">
        <f>SUM(C33)</f>
        <v>20000</v>
      </c>
      <c r="D32" s="26">
        <f>SUM(D33)</f>
        <v>0</v>
      </c>
    </row>
    <row r="33" spans="1:4">
      <c r="A33" s="22"/>
      <c r="B33" s="2" t="s">
        <v>34</v>
      </c>
      <c r="C33" s="26">
        <v>20000</v>
      </c>
      <c r="D33" s="26"/>
    </row>
    <row r="34" spans="1:4">
      <c r="A34" s="25" t="s">
        <v>43</v>
      </c>
      <c r="B34" s="2" t="s">
        <v>44</v>
      </c>
      <c r="C34" s="26">
        <f>SUM(C35:C36)</f>
        <v>72432</v>
      </c>
      <c r="D34" s="26">
        <f>SUM(D35:D36)</f>
        <v>16429</v>
      </c>
    </row>
    <row r="35" spans="1:4">
      <c r="A35" s="25"/>
      <c r="B35" s="2" t="s">
        <v>45</v>
      </c>
      <c r="C35" s="26">
        <f>5978+25000</f>
        <v>30978</v>
      </c>
      <c r="D35" s="26"/>
    </row>
    <row r="36" spans="1:4">
      <c r="A36" s="22"/>
      <c r="B36" s="2" t="s">
        <v>34</v>
      </c>
      <c r="C36" s="26">
        <f>11176+13849+16429</f>
        <v>41454</v>
      </c>
      <c r="D36" s="26">
        <v>16429</v>
      </c>
    </row>
    <row r="37" spans="1:4">
      <c r="A37" s="25" t="s">
        <v>233</v>
      </c>
      <c r="B37" s="2" t="s">
        <v>234</v>
      </c>
      <c r="C37" s="26">
        <f>SUM(C38:C39)</f>
        <v>40300</v>
      </c>
      <c r="D37" s="26">
        <f>SUM(D38:D39)</f>
        <v>0</v>
      </c>
    </row>
    <row r="38" spans="1:4">
      <c r="A38" s="22"/>
      <c r="B38" s="2" t="s">
        <v>45</v>
      </c>
      <c r="C38" s="26">
        <f>7800</f>
        <v>7800</v>
      </c>
      <c r="D38" s="26"/>
    </row>
    <row r="39" spans="1:4">
      <c r="A39" s="22"/>
      <c r="B39" s="2" t="s">
        <v>34</v>
      </c>
      <c r="C39" s="26">
        <f>22000+10500</f>
        <v>32500</v>
      </c>
      <c r="D39" s="26"/>
    </row>
    <row r="40" spans="1:4">
      <c r="A40" s="24" t="s">
        <v>46</v>
      </c>
      <c r="B40" s="4" t="s">
        <v>47</v>
      </c>
      <c r="C40" s="23">
        <f>SUM(C41)</f>
        <v>51318</v>
      </c>
      <c r="D40" s="23">
        <f>SUM(D41)</f>
        <v>27318</v>
      </c>
    </row>
    <row r="41" spans="1:4">
      <c r="A41" s="27"/>
      <c r="B41" s="4" t="s">
        <v>31</v>
      </c>
      <c r="C41" s="23">
        <f>SUM(C43,C45)</f>
        <v>51318</v>
      </c>
      <c r="D41" s="23">
        <f>SUM(D43,D45)</f>
        <v>27318</v>
      </c>
    </row>
    <row r="42" spans="1:4">
      <c r="A42" s="25" t="s">
        <v>48</v>
      </c>
      <c r="B42" s="2" t="s">
        <v>49</v>
      </c>
      <c r="C42" s="26">
        <f>SUM(C43)</f>
        <v>10000</v>
      </c>
      <c r="D42" s="26">
        <f>SUM(D43)</f>
        <v>0</v>
      </c>
    </row>
    <row r="43" spans="1:4">
      <c r="A43" s="22"/>
      <c r="B43" s="2" t="s">
        <v>34</v>
      </c>
      <c r="C43" s="26">
        <v>10000</v>
      </c>
      <c r="D43" s="26"/>
    </row>
    <row r="44" spans="1:4">
      <c r="A44" s="25" t="s">
        <v>50</v>
      </c>
      <c r="B44" s="2" t="s">
        <v>51</v>
      </c>
      <c r="C44" s="26">
        <f>SUM(C45)</f>
        <v>41318</v>
      </c>
      <c r="D44" s="26">
        <f>SUM(D45)</f>
        <v>27318</v>
      </c>
    </row>
    <row r="45" spans="1:4">
      <c r="A45" s="22"/>
      <c r="B45" s="2" t="s">
        <v>34</v>
      </c>
      <c r="C45" s="26">
        <f>3000+10000+1000+27318</f>
        <v>41318</v>
      </c>
      <c r="D45" s="26">
        <v>27318</v>
      </c>
    </row>
    <row r="46" spans="1:4">
      <c r="A46" s="24" t="s">
        <v>52</v>
      </c>
      <c r="B46" s="4" t="s">
        <v>53</v>
      </c>
      <c r="C46" s="23">
        <f>SUM(C47)</f>
        <v>67497</v>
      </c>
      <c r="D46" s="23">
        <f>SUM(D47)</f>
        <v>1597</v>
      </c>
    </row>
    <row r="47" spans="1:4">
      <c r="A47" s="22"/>
      <c r="B47" s="4" t="s">
        <v>31</v>
      </c>
      <c r="C47" s="23">
        <f>SUM(C49,C53,C51)</f>
        <v>67497</v>
      </c>
      <c r="D47" s="23">
        <f>SUM(D53,D51)</f>
        <v>1597</v>
      </c>
    </row>
    <row r="48" spans="1:4">
      <c r="A48" s="25" t="s">
        <v>240</v>
      </c>
      <c r="B48" s="2" t="s">
        <v>244</v>
      </c>
      <c r="C48" s="26">
        <f>SUM(C49)</f>
        <v>2500</v>
      </c>
      <c r="D48" s="26">
        <f>SUM(D49)</f>
        <v>0</v>
      </c>
    </row>
    <row r="49" spans="1:4">
      <c r="A49" s="22"/>
      <c r="B49" s="2" t="s">
        <v>34</v>
      </c>
      <c r="C49" s="26">
        <v>2500</v>
      </c>
      <c r="D49" s="26"/>
    </row>
    <row r="50" spans="1:4">
      <c r="A50" s="25" t="s">
        <v>161</v>
      </c>
      <c r="B50" s="2" t="s">
        <v>245</v>
      </c>
      <c r="C50" s="26">
        <f>SUM(C51)</f>
        <v>47900</v>
      </c>
      <c r="D50" s="26">
        <f>SUM(D51)</f>
        <v>900</v>
      </c>
    </row>
    <row r="51" spans="1:4">
      <c r="A51" s="22"/>
      <c r="B51" s="2" t="s">
        <v>34</v>
      </c>
      <c r="C51" s="26">
        <f>900+47000</f>
        <v>47900</v>
      </c>
      <c r="D51" s="26">
        <v>900</v>
      </c>
    </row>
    <row r="52" spans="1:4">
      <c r="A52" s="25" t="s">
        <v>54</v>
      </c>
      <c r="B52" s="2" t="s">
        <v>55</v>
      </c>
      <c r="C52" s="26">
        <f>SUM(C53)</f>
        <v>17097</v>
      </c>
      <c r="D52" s="26">
        <f>SUM(D53)</f>
        <v>697</v>
      </c>
    </row>
    <row r="53" spans="1:4">
      <c r="A53" s="22"/>
      <c r="B53" s="2" t="s">
        <v>34</v>
      </c>
      <c r="C53" s="26">
        <f>6400+10000+697</f>
        <v>17097</v>
      </c>
      <c r="D53" s="26">
        <f>186+511</f>
        <v>697</v>
      </c>
    </row>
    <row r="54" spans="1:4">
      <c r="A54" s="24" t="s">
        <v>56</v>
      </c>
      <c r="B54" s="4" t="s">
        <v>57</v>
      </c>
      <c r="C54" s="23">
        <f>SUM(C55:C56)</f>
        <v>180369</v>
      </c>
      <c r="D54" s="23">
        <f>SUM(D55:D56)</f>
        <v>78016</v>
      </c>
    </row>
    <row r="55" spans="1:4">
      <c r="A55" s="22"/>
      <c r="B55" s="4" t="s">
        <v>30</v>
      </c>
      <c r="C55" s="23">
        <f>SUM(C58,C60,C64,C67,C77,C79)</f>
        <v>56050</v>
      </c>
      <c r="D55" s="23">
        <f>SUM(D58,D60,D64,D67,D77,D79)</f>
        <v>8650</v>
      </c>
    </row>
    <row r="56" spans="1:4">
      <c r="A56" s="22"/>
      <c r="B56" s="4" t="s">
        <v>31</v>
      </c>
      <c r="C56" s="23">
        <f>SUM(C62,C65,C69,C71,C73,C75,C80)</f>
        <v>124319</v>
      </c>
      <c r="D56" s="23">
        <f>SUM(D62,D65,D69,D71,D73,D75,D80)</f>
        <v>69366</v>
      </c>
    </row>
    <row r="57" spans="1:4">
      <c r="A57" s="25" t="s">
        <v>241</v>
      </c>
      <c r="B57" s="2" t="s">
        <v>243</v>
      </c>
      <c r="C57" s="26">
        <f>SUM(C58)</f>
        <v>9000</v>
      </c>
      <c r="D57" s="26">
        <f>SUM(D58)</f>
        <v>0</v>
      </c>
    </row>
    <row r="58" spans="1:4">
      <c r="A58" s="22"/>
      <c r="B58" s="2" t="s">
        <v>45</v>
      </c>
      <c r="C58" s="26">
        <v>9000</v>
      </c>
      <c r="D58" s="26"/>
    </row>
    <row r="59" spans="1:4">
      <c r="A59" s="25" t="s">
        <v>242</v>
      </c>
      <c r="B59" s="2" t="s">
        <v>246</v>
      </c>
      <c r="C59" s="26">
        <f>SUM(C60)</f>
        <v>3400</v>
      </c>
      <c r="D59" s="26">
        <f>SUM(D60)</f>
        <v>0</v>
      </c>
    </row>
    <row r="60" spans="1:4">
      <c r="A60" s="22"/>
      <c r="B60" s="2" t="s">
        <v>45</v>
      </c>
      <c r="C60" s="26">
        <v>3400</v>
      </c>
      <c r="D60" s="26"/>
    </row>
    <row r="61" spans="1:4">
      <c r="A61" s="25" t="s">
        <v>58</v>
      </c>
      <c r="B61" s="2" t="s">
        <v>59</v>
      </c>
      <c r="C61" s="26">
        <f>SUM(C62)</f>
        <v>6777</v>
      </c>
      <c r="D61" s="26">
        <f>SUM(D62)</f>
        <v>110</v>
      </c>
    </row>
    <row r="62" spans="1:4">
      <c r="A62" s="22"/>
      <c r="B62" s="2" t="s">
        <v>34</v>
      </c>
      <c r="C62" s="26">
        <f>110+6667</f>
        <v>6777</v>
      </c>
      <c r="D62" s="26">
        <v>110</v>
      </c>
    </row>
    <row r="63" spans="1:4">
      <c r="A63" s="25" t="s">
        <v>60</v>
      </c>
      <c r="B63" s="2" t="s">
        <v>61</v>
      </c>
      <c r="C63" s="26">
        <f>SUM(C64:C65)</f>
        <v>84849</v>
      </c>
      <c r="D63" s="26">
        <f>SUM(D64:D65)</f>
        <v>60292</v>
      </c>
    </row>
    <row r="64" spans="1:4">
      <c r="A64" s="25"/>
      <c r="B64" s="2" t="s">
        <v>45</v>
      </c>
      <c r="C64" s="26">
        <v>8650</v>
      </c>
      <c r="D64" s="26">
        <v>8650</v>
      </c>
    </row>
    <row r="65" spans="1:4">
      <c r="A65" s="22"/>
      <c r="B65" s="2" t="s">
        <v>34</v>
      </c>
      <c r="C65" s="26">
        <f>51642+24557</f>
        <v>76199</v>
      </c>
      <c r="D65" s="26">
        <f>45982+5660</f>
        <v>51642</v>
      </c>
    </row>
    <row r="66" spans="1:4">
      <c r="A66" s="25" t="s">
        <v>62</v>
      </c>
      <c r="B66" s="2" t="s">
        <v>63</v>
      </c>
      <c r="C66" s="26">
        <f>SUM(C67)</f>
        <v>73000</v>
      </c>
      <c r="D66" s="26">
        <f>SUM(D67)</f>
        <v>55000</v>
      </c>
    </row>
    <row r="67" spans="1:4">
      <c r="A67" s="22"/>
      <c r="B67" s="2" t="s">
        <v>45</v>
      </c>
      <c r="C67" s="26">
        <f>55000+18000</f>
        <v>73000</v>
      </c>
      <c r="D67" s="26">
        <v>55000</v>
      </c>
    </row>
    <row r="68" spans="1:4">
      <c r="A68" s="25" t="s">
        <v>64</v>
      </c>
      <c r="B68" s="2" t="s">
        <v>65</v>
      </c>
      <c r="C68" s="26">
        <f>SUM(C69)</f>
        <v>11813</v>
      </c>
      <c r="D68" s="26">
        <f>SUM(D69)</f>
        <v>5091</v>
      </c>
    </row>
    <row r="69" spans="1:4">
      <c r="A69" s="22"/>
      <c r="B69" s="2" t="s">
        <v>34</v>
      </c>
      <c r="C69" s="26">
        <f>5091+6722</f>
        <v>11813</v>
      </c>
      <c r="D69" s="26">
        <v>5091</v>
      </c>
    </row>
    <row r="70" spans="1:4">
      <c r="A70" s="25" t="s">
        <v>66</v>
      </c>
      <c r="B70" s="2" t="s">
        <v>67</v>
      </c>
      <c r="C70" s="26">
        <f>SUM(C71)</f>
        <v>401</v>
      </c>
      <c r="D70" s="26">
        <f>SUM(D71)</f>
        <v>401</v>
      </c>
    </row>
    <row r="71" spans="1:4">
      <c r="A71" s="22"/>
      <c r="B71" s="2" t="s">
        <v>34</v>
      </c>
      <c r="C71" s="26">
        <v>401</v>
      </c>
      <c r="D71" s="26">
        <f>150+251</f>
        <v>401</v>
      </c>
    </row>
    <row r="72" spans="1:4">
      <c r="A72" s="25" t="s">
        <v>68</v>
      </c>
      <c r="B72" s="2" t="s">
        <v>69</v>
      </c>
      <c r="C72" s="26">
        <f>SUM(C73)</f>
        <v>24895</v>
      </c>
      <c r="D72" s="26">
        <f>SUM(D73)</f>
        <v>7888</v>
      </c>
    </row>
    <row r="73" spans="1:4">
      <c r="A73" s="22"/>
      <c r="B73" s="2" t="s">
        <v>34</v>
      </c>
      <c r="C73" s="26">
        <f>2500+14507+7888</f>
        <v>24895</v>
      </c>
      <c r="D73" s="26">
        <v>7888</v>
      </c>
    </row>
    <row r="74" spans="1:4">
      <c r="A74" s="25" t="s">
        <v>70</v>
      </c>
      <c r="B74" s="2" t="s">
        <v>71</v>
      </c>
      <c r="C74" s="26">
        <f>SUM(C75)</f>
        <v>2000</v>
      </c>
      <c r="D74" s="26">
        <f>SUM(D75)</f>
        <v>2000</v>
      </c>
    </row>
    <row r="75" spans="1:4">
      <c r="A75" s="22"/>
      <c r="B75" s="2" t="s">
        <v>34</v>
      </c>
      <c r="C75" s="26">
        <v>2000</v>
      </c>
      <c r="D75" s="26">
        <v>2000</v>
      </c>
    </row>
    <row r="76" spans="1:4">
      <c r="A76" s="25" t="s">
        <v>72</v>
      </c>
      <c r="B76" s="2" t="s">
        <v>73</v>
      </c>
      <c r="C76" s="26">
        <f>SUM(C77)</f>
        <v>62000</v>
      </c>
      <c r="D76" s="26">
        <f>SUM(D77)</f>
        <v>45000</v>
      </c>
    </row>
    <row r="77" spans="1:4">
      <c r="A77" s="22"/>
      <c r="B77" s="2" t="s">
        <v>45</v>
      </c>
      <c r="C77" s="26">
        <f>45000+17000</f>
        <v>62000</v>
      </c>
      <c r="D77" s="26">
        <v>45000</v>
      </c>
    </row>
    <row r="78" spans="1:4">
      <c r="A78" s="25" t="s">
        <v>74</v>
      </c>
      <c r="B78" s="2" t="s">
        <v>75</v>
      </c>
      <c r="C78" s="26">
        <f>SUM(C79:C80)</f>
        <v>-97766</v>
      </c>
      <c r="D78" s="26">
        <f>SUM(D79:D80)</f>
        <v>-97766</v>
      </c>
    </row>
    <row r="79" spans="1:4">
      <c r="A79" s="25"/>
      <c r="B79" s="2" t="s">
        <v>45</v>
      </c>
      <c r="C79" s="26">
        <v>-100000</v>
      </c>
      <c r="D79" s="26">
        <v>-100000</v>
      </c>
    </row>
    <row r="80" spans="1:4">
      <c r="A80" s="22"/>
      <c r="B80" s="2" t="s">
        <v>34</v>
      </c>
      <c r="C80" s="26">
        <v>2234</v>
      </c>
      <c r="D80" s="26">
        <v>2234</v>
      </c>
    </row>
    <row r="81" spans="1:4">
      <c r="A81" s="24" t="s">
        <v>76</v>
      </c>
      <c r="B81" s="4" t="s">
        <v>77</v>
      </c>
      <c r="C81" s="23">
        <f>SUM(C82:C83)</f>
        <v>3396691</v>
      </c>
      <c r="D81" s="23">
        <f>SUM(D82:D83)</f>
        <v>2337596</v>
      </c>
    </row>
    <row r="82" spans="1:4">
      <c r="A82" s="24"/>
      <c r="B82" s="4" t="s">
        <v>30</v>
      </c>
      <c r="C82" s="23">
        <f>SUM(C98,C101,C87,C104)</f>
        <v>307821</v>
      </c>
      <c r="D82" s="23">
        <f>SUM(D98,D101,D87,D104)</f>
        <v>307821</v>
      </c>
    </row>
    <row r="83" spans="1:4">
      <c r="A83" s="22"/>
      <c r="B83" s="4" t="s">
        <v>31</v>
      </c>
      <c r="C83" s="23">
        <f>SUM(C85,C88,C90,C92,C94,C96,C99,C102,C105,C107,C109,C111,C113)</f>
        <v>3088870</v>
      </c>
      <c r="D83" s="23">
        <f>SUM(D85,D88,D90,D92,D94,D96,D99,D102,D105,D107,D109,D111,D113)</f>
        <v>2029775</v>
      </c>
    </row>
    <row r="84" spans="1:4">
      <c r="A84" s="25" t="s">
        <v>78</v>
      </c>
      <c r="B84" s="2" t="s">
        <v>79</v>
      </c>
      <c r="C84" s="26">
        <f>SUM(C85)</f>
        <v>303703</v>
      </c>
      <c r="D84" s="26">
        <f>SUM(D85)</f>
        <v>14312</v>
      </c>
    </row>
    <row r="85" spans="1:4">
      <c r="A85" s="22"/>
      <c r="B85" s="2" t="s">
        <v>34</v>
      </c>
      <c r="C85" s="26">
        <f>14312+289391</f>
        <v>303703</v>
      </c>
      <c r="D85" s="26">
        <v>14312</v>
      </c>
    </row>
    <row r="86" spans="1:4">
      <c r="A86" s="25" t="s">
        <v>80</v>
      </c>
      <c r="B86" s="2" t="s">
        <v>81</v>
      </c>
      <c r="C86" s="26">
        <f>SUM(C87:C88)</f>
        <v>1186391</v>
      </c>
      <c r="D86" s="26">
        <f>SUM(D87:D88)</f>
        <v>957191</v>
      </c>
    </row>
    <row r="87" spans="1:4">
      <c r="A87" s="22"/>
      <c r="B87" s="2" t="s">
        <v>45</v>
      </c>
      <c r="C87" s="26">
        <v>25321</v>
      </c>
      <c r="D87" s="26">
        <v>25321</v>
      </c>
    </row>
    <row r="88" spans="1:4">
      <c r="A88" s="22"/>
      <c r="B88" s="2" t="s">
        <v>34</v>
      </c>
      <c r="C88" s="26">
        <f>14061+215139+931870</f>
        <v>1161070</v>
      </c>
      <c r="D88" s="26">
        <f>140611-25321-2229+818809</f>
        <v>931870</v>
      </c>
    </row>
    <row r="89" spans="1:4">
      <c r="A89" s="25" t="s">
        <v>82</v>
      </c>
      <c r="B89" s="2" t="s">
        <v>83</v>
      </c>
      <c r="C89" s="26">
        <f>SUM(C90)</f>
        <v>60691</v>
      </c>
      <c r="D89" s="26">
        <f>SUM(D90)</f>
        <v>38608</v>
      </c>
    </row>
    <row r="90" spans="1:4">
      <c r="A90" s="22"/>
      <c r="B90" s="2" t="s">
        <v>34</v>
      </c>
      <c r="C90" s="26">
        <f>9782+12301+38608</f>
        <v>60691</v>
      </c>
      <c r="D90" s="26">
        <f>-29096+67704</f>
        <v>38608</v>
      </c>
    </row>
    <row r="91" spans="1:4">
      <c r="A91" s="25" t="s">
        <v>84</v>
      </c>
      <c r="B91" s="2" t="s">
        <v>85</v>
      </c>
      <c r="C91" s="26">
        <f>SUM(C92)</f>
        <v>215179</v>
      </c>
      <c r="D91" s="26">
        <f>SUM(D92)</f>
        <v>105780</v>
      </c>
    </row>
    <row r="92" spans="1:4">
      <c r="A92" s="22"/>
      <c r="B92" s="2" t="s">
        <v>34</v>
      </c>
      <c r="C92" s="26">
        <f>-13412+122811+105780</f>
        <v>215179</v>
      </c>
      <c r="D92" s="26">
        <f>6797+98983</f>
        <v>105780</v>
      </c>
    </row>
    <row r="93" spans="1:4">
      <c r="A93" s="25" t="s">
        <v>86</v>
      </c>
      <c r="B93" s="2" t="s">
        <v>87</v>
      </c>
      <c r="C93" s="26">
        <f>SUM(C94)</f>
        <v>-33814</v>
      </c>
      <c r="D93" s="26">
        <f>SUM(D94)</f>
        <v>-37556</v>
      </c>
    </row>
    <row r="94" spans="1:4">
      <c r="A94" s="22"/>
      <c r="B94" s="2" t="s">
        <v>34</v>
      </c>
      <c r="C94" s="26">
        <f>3742-37556</f>
        <v>-33814</v>
      </c>
      <c r="D94" s="26">
        <f>-40339+2783</f>
        <v>-37556</v>
      </c>
    </row>
    <row r="95" spans="1:4">
      <c r="A95" s="25" t="s">
        <v>88</v>
      </c>
      <c r="B95" s="2" t="s">
        <v>89</v>
      </c>
      <c r="C95" s="26">
        <f>SUM(C96)</f>
        <v>205445</v>
      </c>
      <c r="D95" s="26">
        <f>SUM(D96)</f>
        <v>205445</v>
      </c>
    </row>
    <row r="96" spans="1:4">
      <c r="A96" s="22"/>
      <c r="B96" s="2" t="s">
        <v>34</v>
      </c>
      <c r="C96" s="26">
        <v>205445</v>
      </c>
      <c r="D96" s="26">
        <v>205445</v>
      </c>
    </row>
    <row r="97" spans="1:4">
      <c r="A97" s="25" t="s">
        <v>90</v>
      </c>
      <c r="B97" s="2" t="s">
        <v>91</v>
      </c>
      <c r="C97" s="26">
        <f>SUM(C98:C99)</f>
        <v>168519</v>
      </c>
      <c r="D97" s="26">
        <f>SUM(D98:D99)</f>
        <v>167512</v>
      </c>
    </row>
    <row r="98" spans="1:4">
      <c r="A98" s="22"/>
      <c r="B98" s="2" t="s">
        <v>45</v>
      </c>
      <c r="C98" s="26">
        <v>222836</v>
      </c>
      <c r="D98" s="26">
        <v>222836</v>
      </c>
    </row>
    <row r="99" spans="1:4">
      <c r="A99" s="22"/>
      <c r="B99" s="2" t="s">
        <v>34</v>
      </c>
      <c r="C99" s="26">
        <f>1007-55324</f>
        <v>-54317</v>
      </c>
      <c r="D99" s="26">
        <v>-55324</v>
      </c>
    </row>
    <row r="100" spans="1:4">
      <c r="A100" s="25" t="s">
        <v>92</v>
      </c>
      <c r="B100" s="2" t="s">
        <v>93</v>
      </c>
      <c r="C100" s="26">
        <f>SUM(C101:C102)</f>
        <v>591951</v>
      </c>
      <c r="D100" s="26">
        <f>SUM(D101:D102)</f>
        <v>443258</v>
      </c>
    </row>
    <row r="101" spans="1:4">
      <c r="A101" s="22"/>
      <c r="B101" s="2" t="s">
        <v>45</v>
      </c>
      <c r="C101" s="26">
        <v>178504</v>
      </c>
      <c r="D101" s="26">
        <v>178504</v>
      </c>
    </row>
    <row r="102" spans="1:4">
      <c r="A102" s="22"/>
      <c r="B102" s="2" t="s">
        <v>34</v>
      </c>
      <c r="C102" s="26">
        <f>148693+264754</f>
        <v>413447</v>
      </c>
      <c r="D102" s="26">
        <v>264754</v>
      </c>
    </row>
    <row r="103" spans="1:4">
      <c r="A103" s="25" t="s">
        <v>94</v>
      </c>
      <c r="B103" s="2" t="s">
        <v>95</v>
      </c>
      <c r="C103" s="26">
        <f>SUM(C104:C105)</f>
        <v>-118910</v>
      </c>
      <c r="D103" s="26">
        <f>SUM(D104:D105)</f>
        <v>-121722</v>
      </c>
    </row>
    <row r="104" spans="1:4">
      <c r="A104" s="25"/>
      <c r="B104" s="2" t="s">
        <v>45</v>
      </c>
      <c r="C104" s="26">
        <v>-118840</v>
      </c>
      <c r="D104" s="26">
        <v>-118840</v>
      </c>
    </row>
    <row r="105" spans="1:4">
      <c r="A105" s="22"/>
      <c r="B105" s="2" t="s">
        <v>34</v>
      </c>
      <c r="C105" s="26">
        <f>2812-2882</f>
        <v>-70</v>
      </c>
      <c r="D105" s="26">
        <v>-2882</v>
      </c>
    </row>
    <row r="106" spans="1:4">
      <c r="A106" s="25" t="s">
        <v>96</v>
      </c>
      <c r="B106" s="2" t="s">
        <v>97</v>
      </c>
      <c r="C106" s="26">
        <f>SUM(C107)</f>
        <v>369520</v>
      </c>
      <c r="D106" s="26">
        <f>SUM(D107)</f>
        <v>374043</v>
      </c>
    </row>
    <row r="107" spans="1:4">
      <c r="A107" s="22"/>
      <c r="B107" s="2" t="s">
        <v>34</v>
      </c>
      <c r="C107" s="26">
        <f>374043-4523</f>
        <v>369520</v>
      </c>
      <c r="D107" s="26">
        <v>374043</v>
      </c>
    </row>
    <row r="108" spans="1:4">
      <c r="A108" s="25" t="s">
        <v>98</v>
      </c>
      <c r="B108" s="2" t="s">
        <v>99</v>
      </c>
      <c r="C108" s="26">
        <f>SUM(C109)</f>
        <v>147904</v>
      </c>
      <c r="D108" s="26">
        <f>SUM(D109)</f>
        <v>127909</v>
      </c>
    </row>
    <row r="109" spans="1:4">
      <c r="A109" s="22"/>
      <c r="B109" s="2" t="s">
        <v>34</v>
      </c>
      <c r="C109" s="26">
        <f>127909+19995</f>
        <v>147904</v>
      </c>
      <c r="D109" s="26">
        <v>127909</v>
      </c>
    </row>
    <row r="110" spans="1:4">
      <c r="A110" s="25" t="s">
        <v>100</v>
      </c>
      <c r="B110" s="2" t="s">
        <v>101</v>
      </c>
      <c r="C110" s="26">
        <f>SUM(C111)</f>
        <v>19323</v>
      </c>
      <c r="D110" s="26">
        <f>SUM(D111)</f>
        <v>-7973</v>
      </c>
    </row>
    <row r="111" spans="1:4">
      <c r="A111" s="22"/>
      <c r="B111" s="2" t="s">
        <v>34</v>
      </c>
      <c r="C111" s="26">
        <f>5770+21526-7973</f>
        <v>19323</v>
      </c>
      <c r="D111" s="26">
        <v>-7973</v>
      </c>
    </row>
    <row r="112" spans="1:4">
      <c r="A112" s="25" t="s">
        <v>162</v>
      </c>
      <c r="B112" s="2" t="s">
        <v>163</v>
      </c>
      <c r="C112" s="26">
        <f>SUM(C113)</f>
        <v>280789</v>
      </c>
      <c r="D112" s="26">
        <f>SUM(D113)</f>
        <v>70789</v>
      </c>
    </row>
    <row r="113" spans="1:4">
      <c r="A113" s="22"/>
      <c r="B113" s="2" t="s">
        <v>34</v>
      </c>
      <c r="C113" s="26">
        <f>70789+210000</f>
        <v>280789</v>
      </c>
      <c r="D113" s="26">
        <v>70789</v>
      </c>
    </row>
    <row r="114" spans="1:4">
      <c r="A114" s="27">
        <v>10</v>
      </c>
      <c r="B114" s="4" t="s">
        <v>11</v>
      </c>
      <c r="C114" s="23">
        <f>SUM(C115:C116)</f>
        <v>392110</v>
      </c>
      <c r="D114" s="23">
        <f>SUM(D115:D116)</f>
        <v>312895</v>
      </c>
    </row>
    <row r="115" spans="1:4">
      <c r="A115" s="27"/>
      <c r="B115" s="4" t="s">
        <v>30</v>
      </c>
      <c r="C115" s="23">
        <f>SUM(C118,C125,C130)</f>
        <v>289814</v>
      </c>
      <c r="D115" s="23">
        <f>SUM(D118,D125,D130)</f>
        <v>287814</v>
      </c>
    </row>
    <row r="116" spans="1:4">
      <c r="A116" s="22"/>
      <c r="B116" s="4" t="s">
        <v>31</v>
      </c>
      <c r="C116" s="23">
        <f>SUM(C119,C121,C123,C126,C128,C131,C133)</f>
        <v>102296</v>
      </c>
      <c r="D116" s="23">
        <f>SUM(D119,D121,D123,D126,D128,D131,D133)</f>
        <v>25081</v>
      </c>
    </row>
    <row r="117" spans="1:4">
      <c r="A117" s="22">
        <v>10121</v>
      </c>
      <c r="B117" s="2" t="s">
        <v>102</v>
      </c>
      <c r="C117" s="26">
        <f>SUM(C118:C119)</f>
        <v>41775</v>
      </c>
      <c r="D117" s="26">
        <f>SUM(D118:D119)</f>
        <v>27918</v>
      </c>
    </row>
    <row r="118" spans="1:4">
      <c r="A118" s="22"/>
      <c r="B118" s="2" t="s">
        <v>45</v>
      </c>
      <c r="C118" s="26">
        <f>2000+23284</f>
        <v>25284</v>
      </c>
      <c r="D118" s="26">
        <v>23284</v>
      </c>
    </row>
    <row r="119" spans="1:4">
      <c r="A119" s="22"/>
      <c r="B119" s="2" t="s">
        <v>34</v>
      </c>
      <c r="C119" s="26">
        <f>4634+11857</f>
        <v>16491</v>
      </c>
      <c r="D119" s="26">
        <v>4634</v>
      </c>
    </row>
    <row r="120" spans="1:4">
      <c r="A120" s="22">
        <v>10200</v>
      </c>
      <c r="B120" s="2" t="s">
        <v>103</v>
      </c>
      <c r="C120" s="26">
        <f>SUM(C121)</f>
        <v>52624</v>
      </c>
      <c r="D120" s="26">
        <f>SUM(D121)</f>
        <v>2842</v>
      </c>
    </row>
    <row r="121" spans="1:4">
      <c r="A121" s="22"/>
      <c r="B121" s="2" t="s">
        <v>34</v>
      </c>
      <c r="C121" s="26">
        <f>1142+7467+41173+2842</f>
        <v>52624</v>
      </c>
      <c r="D121" s="26">
        <v>2842</v>
      </c>
    </row>
    <row r="122" spans="1:4">
      <c r="A122" s="22">
        <v>10400</v>
      </c>
      <c r="B122" s="2" t="s">
        <v>104</v>
      </c>
      <c r="C122" s="26">
        <f>SUM(C123)</f>
        <v>4282</v>
      </c>
      <c r="D122" s="26">
        <f>SUM(D123)</f>
        <v>4282</v>
      </c>
    </row>
    <row r="123" spans="1:4">
      <c r="A123" s="22"/>
      <c r="B123" s="2" t="s">
        <v>34</v>
      </c>
      <c r="C123" s="26">
        <v>4282</v>
      </c>
      <c r="D123" s="26">
        <f>1775+2507</f>
        <v>4282</v>
      </c>
    </row>
    <row r="124" spans="1:4">
      <c r="A124" s="22">
        <v>10402</v>
      </c>
      <c r="B124" s="2" t="s">
        <v>105</v>
      </c>
      <c r="C124" s="26">
        <f>SUM(C125:C126)</f>
        <v>366368</v>
      </c>
      <c r="D124" s="26">
        <f>SUM(D125:D126)</f>
        <v>363941</v>
      </c>
    </row>
    <row r="125" spans="1:4">
      <c r="A125" s="22"/>
      <c r="B125" s="2" t="s">
        <v>45</v>
      </c>
      <c r="C125" s="26">
        <v>363941</v>
      </c>
      <c r="D125" s="26">
        <v>363941</v>
      </c>
    </row>
    <row r="126" spans="1:4">
      <c r="A126" s="22"/>
      <c r="B126" s="2" t="s">
        <v>34</v>
      </c>
      <c r="C126" s="26">
        <v>2427</v>
      </c>
      <c r="D126" s="26"/>
    </row>
    <row r="127" spans="1:4">
      <c r="A127" s="22">
        <v>10700</v>
      </c>
      <c r="B127" s="2" t="s">
        <v>106</v>
      </c>
      <c r="C127" s="26">
        <f>SUM(C128)</f>
        <v>7149</v>
      </c>
      <c r="D127" s="26">
        <f>SUM(D128)</f>
        <v>0</v>
      </c>
    </row>
    <row r="128" spans="1:4">
      <c r="A128" s="22"/>
      <c r="B128" s="2" t="s">
        <v>34</v>
      </c>
      <c r="C128" s="26">
        <v>7149</v>
      </c>
      <c r="D128" s="26"/>
    </row>
    <row r="129" spans="1:4">
      <c r="A129" s="22">
        <v>10701</v>
      </c>
      <c r="B129" s="2" t="s">
        <v>107</v>
      </c>
      <c r="C129" s="26">
        <f>SUM(C130:C131)</f>
        <v>-86088</v>
      </c>
      <c r="D129" s="26">
        <f>SUM(D130:D131)</f>
        <v>-86088</v>
      </c>
    </row>
    <row r="130" spans="1:4">
      <c r="A130" s="22"/>
      <c r="B130" s="2" t="s">
        <v>45</v>
      </c>
      <c r="C130" s="26">
        <v>-99411</v>
      </c>
      <c r="D130" s="26">
        <v>-99411</v>
      </c>
    </row>
    <row r="131" spans="1:4">
      <c r="A131" s="22"/>
      <c r="B131" s="2" t="s">
        <v>34</v>
      </c>
      <c r="C131" s="26">
        <v>13323</v>
      </c>
      <c r="D131" s="26">
        <v>13323</v>
      </c>
    </row>
    <row r="132" spans="1:4">
      <c r="A132" s="22">
        <v>10900</v>
      </c>
      <c r="B132" s="2" t="s">
        <v>247</v>
      </c>
      <c r="C132" s="26">
        <f>SUM(C133:C133)</f>
        <v>6000</v>
      </c>
      <c r="D132" s="26">
        <f>SUM(D133:D133)</f>
        <v>0</v>
      </c>
    </row>
    <row r="133" spans="1:4">
      <c r="A133" s="22"/>
      <c r="B133" s="2" t="s">
        <v>34</v>
      </c>
      <c r="C133" s="26">
        <v>6000</v>
      </c>
      <c r="D133" s="26"/>
    </row>
  </sheetData>
  <mergeCells count="2">
    <mergeCell ref="A1:D1"/>
    <mergeCell ref="B2:C2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&amp;RLisa 3
Tartu Linnavolikogu ... 2015. a 
määruse nr juurde</oddHeader>
    <oddFooter xml:space="preserve">&amp;C&amp;P+2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topLeftCell="A22" workbookViewId="0">
      <selection activeCell="A36" sqref="A36"/>
    </sheetView>
  </sheetViews>
  <sheetFormatPr defaultRowHeight="15"/>
  <cols>
    <col min="1" max="1" width="48.42578125" style="77" customWidth="1"/>
    <col min="2" max="3" width="5.5703125" style="78" customWidth="1"/>
    <col min="4" max="4" width="11.28515625" style="79" bestFit="1" customWidth="1"/>
    <col min="5" max="5" width="11.28515625" style="29" bestFit="1" customWidth="1"/>
    <col min="6" max="6" width="11.28515625" style="29" customWidth="1"/>
    <col min="7" max="7" width="11.42578125" style="29" customWidth="1"/>
    <col min="8" max="16384" width="9.140625" style="29"/>
  </cols>
  <sheetData>
    <row r="1" spans="1:7">
      <c r="A1" s="98" t="s">
        <v>146</v>
      </c>
      <c r="B1" s="99"/>
      <c r="C1" s="99"/>
      <c r="D1" s="99"/>
      <c r="E1" s="99"/>
      <c r="F1" s="99"/>
      <c r="G1" s="96"/>
    </row>
    <row r="2" spans="1:7">
      <c r="A2" s="98" t="s">
        <v>14</v>
      </c>
      <c r="B2" s="96"/>
      <c r="C2" s="96"/>
      <c r="D2" s="96"/>
      <c r="E2" s="96"/>
      <c r="F2" s="96"/>
      <c r="G2" s="96"/>
    </row>
    <row r="3" spans="1:7">
      <c r="A3" s="30"/>
      <c r="B3" s="31"/>
      <c r="C3" s="31"/>
      <c r="D3" s="32"/>
      <c r="F3" s="33" t="s">
        <v>0</v>
      </c>
    </row>
    <row r="4" spans="1:7">
      <c r="A4" s="102"/>
      <c r="B4" s="34"/>
      <c r="C4" s="34"/>
      <c r="D4" s="104" t="s">
        <v>108</v>
      </c>
      <c r="E4" s="104"/>
      <c r="F4" s="105" t="s">
        <v>109</v>
      </c>
      <c r="G4" s="100" t="s">
        <v>110</v>
      </c>
    </row>
    <row r="5" spans="1:7" ht="31.5" customHeight="1">
      <c r="A5" s="103"/>
      <c r="B5" s="35"/>
      <c r="C5" s="35"/>
      <c r="D5" s="36" t="s">
        <v>111</v>
      </c>
      <c r="E5" s="37" t="s">
        <v>112</v>
      </c>
      <c r="F5" s="105"/>
      <c r="G5" s="101"/>
    </row>
    <row r="6" spans="1:7">
      <c r="A6" s="38" t="s">
        <v>113</v>
      </c>
      <c r="B6" s="39"/>
      <c r="C6" s="39"/>
      <c r="D6" s="40">
        <f>SUM(D7:D8)</f>
        <v>2294349</v>
      </c>
      <c r="E6" s="40">
        <f>SUM(E7:E8)</f>
        <v>1349974</v>
      </c>
      <c r="F6" s="41">
        <f>SUM(D6:E6)</f>
        <v>3644323</v>
      </c>
      <c r="G6" s="41">
        <f>SUM(G7:G8)</f>
        <v>709211</v>
      </c>
    </row>
    <row r="7" spans="1:7">
      <c r="A7" s="42" t="s">
        <v>114</v>
      </c>
      <c r="B7" s="43" t="s">
        <v>115</v>
      </c>
      <c r="C7" s="43"/>
      <c r="D7" s="44">
        <f>SUMIF($B14:$B124,$B7,D14:D124)</f>
        <v>2214320</v>
      </c>
      <c r="E7" s="44">
        <f>SUMIF($B14:$B124,$B7,E14:E124)</f>
        <v>1349974</v>
      </c>
      <c r="F7" s="44">
        <f>SUM(D7:E7)</f>
        <v>3564294</v>
      </c>
      <c r="G7" s="44">
        <f>SUMIF($B14:$B124,$B7,G14:G124)</f>
        <v>709211</v>
      </c>
    </row>
    <row r="8" spans="1:7">
      <c r="A8" s="42" t="s">
        <v>116</v>
      </c>
      <c r="B8" s="43" t="s">
        <v>117</v>
      </c>
      <c r="C8" s="43"/>
      <c r="D8" s="44">
        <f>SUMIF($B15:$B124,$B8,D15:D124)</f>
        <v>80029</v>
      </c>
      <c r="E8" s="44">
        <f>SUMIF($B15:$B124,$B8,E15:E124)</f>
        <v>0</v>
      </c>
      <c r="F8" s="44">
        <f>SUM(D8:E8)</f>
        <v>80029</v>
      </c>
      <c r="G8" s="44">
        <f>SUMIF($B15:$B124,$B8,G15:G124)</f>
        <v>0</v>
      </c>
    </row>
    <row r="9" spans="1:7">
      <c r="A9" s="47"/>
      <c r="B9" s="48"/>
      <c r="C9" s="48"/>
      <c r="D9" s="49"/>
      <c r="F9" s="50"/>
    </row>
    <row r="10" spans="1:7">
      <c r="A10" s="106" t="s">
        <v>118</v>
      </c>
      <c r="B10" s="106"/>
      <c r="C10" s="106"/>
      <c r="D10" s="106"/>
      <c r="E10" s="106"/>
      <c r="F10" s="106"/>
    </row>
    <row r="11" spans="1:7">
      <c r="A11" s="51"/>
      <c r="B11" s="52"/>
      <c r="C11" s="52"/>
      <c r="D11" s="53"/>
      <c r="F11" s="33"/>
    </row>
    <row r="12" spans="1:7">
      <c r="A12" s="100" t="s">
        <v>119</v>
      </c>
      <c r="B12" s="54"/>
      <c r="C12" s="54"/>
      <c r="D12" s="107" t="s">
        <v>108</v>
      </c>
      <c r="E12" s="107"/>
      <c r="F12" s="107" t="s">
        <v>120</v>
      </c>
      <c r="G12" s="100" t="s">
        <v>110</v>
      </c>
    </row>
    <row r="13" spans="1:7" ht="30.75" customHeight="1">
      <c r="A13" s="100"/>
      <c r="B13" s="54"/>
      <c r="C13" s="54" t="s">
        <v>142</v>
      </c>
      <c r="D13" s="55" t="s">
        <v>111</v>
      </c>
      <c r="E13" s="56" t="s">
        <v>112</v>
      </c>
      <c r="F13" s="107"/>
      <c r="G13" s="100"/>
    </row>
    <row r="14" spans="1:7" ht="21.75" customHeight="1">
      <c r="A14" s="83" t="s">
        <v>5</v>
      </c>
      <c r="B14" s="84"/>
      <c r="C14" s="84"/>
      <c r="D14" s="40">
        <f>SUM(D15,D18)</f>
        <v>-71000</v>
      </c>
      <c r="E14" s="40">
        <f>SUM(E15,E18)</f>
        <v>0</v>
      </c>
      <c r="F14" s="40">
        <f>SUM(D14:E14)</f>
        <v>-71000</v>
      </c>
      <c r="G14" s="40">
        <f>SUM(G18)</f>
        <v>-140000</v>
      </c>
    </row>
    <row r="15" spans="1:7">
      <c r="A15" s="61" t="s">
        <v>168</v>
      </c>
      <c r="B15" s="87"/>
      <c r="C15" s="87"/>
      <c r="D15" s="88">
        <f>SUM(D16:D17)</f>
        <v>69000</v>
      </c>
      <c r="E15" s="88">
        <f t="shared" ref="E15" si="0">SUM(E16)</f>
        <v>0</v>
      </c>
      <c r="F15" s="88">
        <f t="shared" ref="F15" si="1">SUM(F16)</f>
        <v>55000</v>
      </c>
      <c r="G15" s="88">
        <f t="shared" ref="G15" si="2">SUM(G16)</f>
        <v>0</v>
      </c>
    </row>
    <row r="16" spans="1:7">
      <c r="A16" s="82" t="s">
        <v>169</v>
      </c>
      <c r="B16" s="54" t="s">
        <v>115</v>
      </c>
      <c r="C16" s="54"/>
      <c r="D16" s="85">
        <v>55000</v>
      </c>
      <c r="E16" s="86"/>
      <c r="F16" s="85">
        <f t="shared" ref="F16:F17" si="3">SUM(D16:E16)</f>
        <v>55000</v>
      </c>
      <c r="G16" s="89"/>
    </row>
    <row r="17" spans="1:8">
      <c r="A17" s="82" t="s">
        <v>250</v>
      </c>
      <c r="B17" s="54" t="s">
        <v>115</v>
      </c>
      <c r="C17" s="54"/>
      <c r="D17" s="85">
        <v>14000</v>
      </c>
      <c r="E17" s="86"/>
      <c r="F17" s="85">
        <f t="shared" si="3"/>
        <v>14000</v>
      </c>
      <c r="G17" s="89"/>
    </row>
    <row r="18" spans="1:8">
      <c r="A18" s="61" t="s">
        <v>164</v>
      </c>
      <c r="B18" s="87"/>
      <c r="C18" s="87"/>
      <c r="D18" s="88">
        <f>SUM(D19)</f>
        <v>-140000</v>
      </c>
      <c r="E18" s="88">
        <f t="shared" ref="E18:G18" si="4">SUM(E19)</f>
        <v>0</v>
      </c>
      <c r="F18" s="88">
        <f t="shared" si="4"/>
        <v>-140000</v>
      </c>
      <c r="G18" s="88">
        <f t="shared" si="4"/>
        <v>-140000</v>
      </c>
      <c r="H18" s="92"/>
    </row>
    <row r="19" spans="1:8">
      <c r="A19" s="82" t="s">
        <v>165</v>
      </c>
      <c r="B19" s="54" t="s">
        <v>115</v>
      </c>
      <c r="C19" s="54"/>
      <c r="D19" s="85">
        <v>-140000</v>
      </c>
      <c r="E19" s="86"/>
      <c r="F19" s="85">
        <f t="shared" ref="F19" si="5">SUM(D19:E19)</f>
        <v>-140000</v>
      </c>
      <c r="G19" s="89">
        <v>-140000</v>
      </c>
    </row>
    <row r="20" spans="1:8" ht="21.75" customHeight="1">
      <c r="A20" s="57" t="s">
        <v>6</v>
      </c>
      <c r="B20" s="58"/>
      <c r="C20" s="58"/>
      <c r="D20" s="41">
        <f>D21+D49+D47+D45</f>
        <v>1023015</v>
      </c>
      <c r="E20" s="41">
        <f>E21+E49+E47+E45</f>
        <v>763931</v>
      </c>
      <c r="F20" s="62">
        <f t="shared" ref="F20:F28" si="6">SUM(D20:E20)</f>
        <v>1786946</v>
      </c>
      <c r="G20" s="41">
        <f>G21+G49+G47+G45</f>
        <v>256150</v>
      </c>
    </row>
    <row r="21" spans="1:8">
      <c r="A21" s="61" t="s">
        <v>121</v>
      </c>
      <c r="B21" s="58"/>
      <c r="C21" s="58"/>
      <c r="D21" s="62">
        <f>SUM(D22,D29,D31,)</f>
        <v>987777</v>
      </c>
      <c r="E21" s="62">
        <f>SUM(E22,E29,E31,)</f>
        <v>758525</v>
      </c>
      <c r="F21" s="62">
        <f t="shared" si="6"/>
        <v>1746302</v>
      </c>
      <c r="G21" s="62">
        <f>SUM(G22,G29,G31)</f>
        <v>246506</v>
      </c>
    </row>
    <row r="22" spans="1:8">
      <c r="A22" s="57" t="s">
        <v>122</v>
      </c>
      <c r="B22" s="58"/>
      <c r="C22" s="58"/>
      <c r="D22" s="41">
        <f>SUM(D23:D28)</f>
        <v>645908</v>
      </c>
      <c r="E22" s="41">
        <f>SUM(E23:E28)</f>
        <v>500000</v>
      </c>
      <c r="F22" s="41">
        <f t="shared" si="6"/>
        <v>1145908</v>
      </c>
      <c r="G22" s="44">
        <f>SUM(G23:G28)</f>
        <v>161506</v>
      </c>
    </row>
    <row r="23" spans="1:8">
      <c r="A23" s="59" t="s">
        <v>123</v>
      </c>
      <c r="B23" s="60" t="s">
        <v>115</v>
      </c>
      <c r="C23" s="60"/>
      <c r="D23" s="44">
        <f>-40000+40000+161506</f>
        <v>161506</v>
      </c>
      <c r="E23" s="44"/>
      <c r="F23" s="44">
        <f t="shared" si="6"/>
        <v>161506</v>
      </c>
      <c r="G23" s="44">
        <v>161506</v>
      </c>
    </row>
    <row r="24" spans="1:8">
      <c r="A24" s="59" t="s">
        <v>184</v>
      </c>
      <c r="B24" s="60" t="s">
        <v>115</v>
      </c>
      <c r="C24" s="60"/>
      <c r="D24" s="44">
        <v>300000</v>
      </c>
      <c r="E24" s="44"/>
      <c r="F24" s="44">
        <f t="shared" si="6"/>
        <v>300000</v>
      </c>
      <c r="G24" s="44"/>
    </row>
    <row r="25" spans="1:8">
      <c r="A25" s="59" t="s">
        <v>254</v>
      </c>
      <c r="B25" s="60" t="s">
        <v>115</v>
      </c>
      <c r="C25" s="60"/>
      <c r="D25" s="44">
        <v>53000</v>
      </c>
      <c r="E25" s="44"/>
      <c r="F25" s="44">
        <f t="shared" si="6"/>
        <v>53000</v>
      </c>
      <c r="G25" s="44"/>
    </row>
    <row r="26" spans="1:8" ht="30">
      <c r="A26" s="59" t="s">
        <v>172</v>
      </c>
      <c r="B26" s="60" t="s">
        <v>115</v>
      </c>
      <c r="C26" s="60"/>
      <c r="D26" s="44">
        <v>15000</v>
      </c>
      <c r="E26" s="44"/>
      <c r="F26" s="44">
        <f t="shared" si="6"/>
        <v>15000</v>
      </c>
      <c r="G26" s="44"/>
    </row>
    <row r="27" spans="1:8">
      <c r="A27" s="59" t="s">
        <v>173</v>
      </c>
      <c r="B27" s="60" t="s">
        <v>115</v>
      </c>
      <c r="C27" s="60"/>
      <c r="D27" s="44">
        <v>28167</v>
      </c>
      <c r="E27" s="44"/>
      <c r="F27" s="44">
        <f t="shared" si="6"/>
        <v>28167</v>
      </c>
      <c r="G27" s="44"/>
    </row>
    <row r="28" spans="1:8">
      <c r="A28" s="59" t="s">
        <v>174</v>
      </c>
      <c r="B28" s="60" t="s">
        <v>115</v>
      </c>
      <c r="C28" s="60"/>
      <c r="D28" s="44">
        <v>88235</v>
      </c>
      <c r="E28" s="44">
        <v>500000</v>
      </c>
      <c r="F28" s="44">
        <f t="shared" si="6"/>
        <v>588235</v>
      </c>
      <c r="G28" s="44"/>
    </row>
    <row r="29" spans="1:8">
      <c r="A29" s="57" t="s">
        <v>124</v>
      </c>
      <c r="B29" s="58"/>
      <c r="C29" s="58"/>
      <c r="D29" s="41">
        <f>SUM(D30)</f>
        <v>60000</v>
      </c>
      <c r="E29" s="41">
        <f>SUM(E30)</f>
        <v>0</v>
      </c>
      <c r="F29" s="41">
        <f>SUM(D29:E29)</f>
        <v>60000</v>
      </c>
      <c r="G29" s="44">
        <f>SUM(G30)</f>
        <v>0</v>
      </c>
    </row>
    <row r="30" spans="1:8">
      <c r="A30" s="59" t="s">
        <v>125</v>
      </c>
      <c r="B30" s="60" t="s">
        <v>115</v>
      </c>
      <c r="C30" s="60"/>
      <c r="D30" s="44">
        <v>60000</v>
      </c>
      <c r="E30" s="44"/>
      <c r="F30" s="44">
        <f t="shared" ref="F30:F121" si="7">SUM(D30:E30)</f>
        <v>60000</v>
      </c>
      <c r="G30" s="44"/>
    </row>
    <row r="31" spans="1:8">
      <c r="A31" s="57" t="s">
        <v>141</v>
      </c>
      <c r="B31" s="58"/>
      <c r="C31" s="58"/>
      <c r="D31" s="41">
        <f>SUM(D32:D39)</f>
        <v>281869</v>
      </c>
      <c r="E31" s="41">
        <f>SUM(E32:E39)</f>
        <v>258525</v>
      </c>
      <c r="F31" s="41">
        <f t="shared" ref="F31:G31" si="8">SUM(F32:F39)</f>
        <v>540394</v>
      </c>
      <c r="G31" s="41">
        <f t="shared" si="8"/>
        <v>85000</v>
      </c>
    </row>
    <row r="32" spans="1:8">
      <c r="A32" s="59" t="s">
        <v>153</v>
      </c>
      <c r="B32" s="60" t="s">
        <v>115</v>
      </c>
      <c r="C32" s="60"/>
      <c r="D32" s="44"/>
      <c r="E32" s="44">
        <v>15000</v>
      </c>
      <c r="F32" s="44">
        <f>SUM(D32:E32)</f>
        <v>15000</v>
      </c>
      <c r="G32" s="44">
        <v>15000</v>
      </c>
    </row>
    <row r="33" spans="1:7">
      <c r="A33" s="59" t="s">
        <v>166</v>
      </c>
      <c r="B33" s="60" t="s">
        <v>115</v>
      </c>
      <c r="C33" s="60"/>
      <c r="D33" s="44">
        <v>70000</v>
      </c>
      <c r="E33" s="44"/>
      <c r="F33" s="44">
        <f>SUM(D33:E33)</f>
        <v>70000</v>
      </c>
      <c r="G33" s="44">
        <v>70000</v>
      </c>
    </row>
    <row r="34" spans="1:7">
      <c r="A34" s="59" t="s">
        <v>175</v>
      </c>
      <c r="B34" s="60" t="s">
        <v>115</v>
      </c>
      <c r="C34" s="60"/>
      <c r="D34" s="44">
        <v>24750</v>
      </c>
      <c r="E34" s="44">
        <v>140250</v>
      </c>
      <c r="F34" s="44">
        <f t="shared" ref="F34:F38" si="9">SUM(D34:E34)</f>
        <v>165000</v>
      </c>
      <c r="G34" s="44"/>
    </row>
    <row r="35" spans="1:7" ht="30">
      <c r="A35" s="59" t="s">
        <v>259</v>
      </c>
      <c r="B35" s="60" t="s">
        <v>115</v>
      </c>
      <c r="C35" s="60"/>
      <c r="D35" s="44">
        <v>18225</v>
      </c>
      <c r="E35" s="44">
        <v>103275</v>
      </c>
      <c r="F35" s="44">
        <f t="shared" si="9"/>
        <v>121500</v>
      </c>
      <c r="G35" s="44"/>
    </row>
    <row r="36" spans="1:7" ht="30">
      <c r="A36" s="59" t="s">
        <v>177</v>
      </c>
      <c r="B36" s="60" t="s">
        <v>115</v>
      </c>
      <c r="C36" s="60"/>
      <c r="D36" s="44">
        <v>75000</v>
      </c>
      <c r="E36" s="44"/>
      <c r="F36" s="44">
        <f t="shared" si="9"/>
        <v>75000</v>
      </c>
      <c r="G36" s="44"/>
    </row>
    <row r="37" spans="1:7">
      <c r="A37" s="59" t="s">
        <v>176</v>
      </c>
      <c r="B37" s="60" t="s">
        <v>115</v>
      </c>
      <c r="C37" s="60"/>
      <c r="D37" s="44">
        <v>7894</v>
      </c>
      <c r="E37" s="44"/>
      <c r="F37" s="44">
        <f t="shared" si="9"/>
        <v>7894</v>
      </c>
      <c r="G37" s="44"/>
    </row>
    <row r="38" spans="1:7">
      <c r="A38" s="59" t="s">
        <v>178</v>
      </c>
      <c r="B38" s="60" t="s">
        <v>115</v>
      </c>
      <c r="C38" s="60"/>
      <c r="D38" s="44">
        <v>10000</v>
      </c>
      <c r="E38" s="44"/>
      <c r="F38" s="44">
        <f t="shared" si="9"/>
        <v>10000</v>
      </c>
      <c r="G38" s="44"/>
    </row>
    <row r="39" spans="1:7">
      <c r="A39" s="59" t="s">
        <v>179</v>
      </c>
      <c r="B39" s="60" t="s">
        <v>115</v>
      </c>
      <c r="C39" s="60"/>
      <c r="D39" s="44">
        <f>21000+55000</f>
        <v>76000</v>
      </c>
      <c r="E39" s="44"/>
      <c r="F39" s="44">
        <f>SUM(D39:E39)</f>
        <v>76000</v>
      </c>
      <c r="G39" s="44"/>
    </row>
    <row r="40" spans="1:7">
      <c r="A40" s="90" t="s">
        <v>180</v>
      </c>
      <c r="B40" s="60"/>
      <c r="C40" s="60"/>
      <c r="D40" s="44"/>
      <c r="E40" s="44"/>
      <c r="F40" s="44"/>
      <c r="G40" s="44"/>
    </row>
    <row r="41" spans="1:7">
      <c r="A41" s="90" t="s">
        <v>181</v>
      </c>
      <c r="B41" s="60"/>
      <c r="C41" s="60"/>
      <c r="D41" s="44"/>
      <c r="E41" s="44"/>
      <c r="F41" s="44"/>
      <c r="G41" s="44"/>
    </row>
    <row r="42" spans="1:7">
      <c r="A42" s="90" t="s">
        <v>260</v>
      </c>
      <c r="B42" s="60"/>
      <c r="C42" s="60"/>
      <c r="D42" s="44"/>
      <c r="E42" s="44"/>
      <c r="F42" s="44"/>
      <c r="G42" s="44"/>
    </row>
    <row r="43" spans="1:7">
      <c r="A43" s="90" t="s">
        <v>182</v>
      </c>
      <c r="B43" s="60"/>
      <c r="C43" s="60"/>
      <c r="D43" s="44"/>
      <c r="E43" s="44"/>
      <c r="F43" s="44"/>
      <c r="G43" s="44"/>
    </row>
    <row r="44" spans="1:7">
      <c r="A44" s="90" t="s">
        <v>183</v>
      </c>
      <c r="B44" s="60"/>
      <c r="C44" s="60"/>
      <c r="D44" s="44"/>
      <c r="E44" s="44"/>
      <c r="F44" s="44"/>
      <c r="G44" s="44"/>
    </row>
    <row r="45" spans="1:7">
      <c r="A45" s="61" t="s">
        <v>154</v>
      </c>
      <c r="B45" s="58"/>
      <c r="C45" s="58"/>
      <c r="D45" s="62">
        <f>SUM(D46)</f>
        <v>0</v>
      </c>
      <c r="E45" s="62">
        <f t="shared" ref="E45" si="10">SUM(E46)</f>
        <v>5406</v>
      </c>
      <c r="F45" s="62">
        <f t="shared" ref="F45" si="11">SUM(F46)</f>
        <v>5406</v>
      </c>
      <c r="G45" s="62">
        <f t="shared" ref="G45" si="12">SUM(G46)</f>
        <v>5406</v>
      </c>
    </row>
    <row r="46" spans="1:7" ht="30">
      <c r="A46" s="59" t="s">
        <v>155</v>
      </c>
      <c r="B46" s="60" t="s">
        <v>115</v>
      </c>
      <c r="C46" s="60"/>
      <c r="D46" s="44"/>
      <c r="E46" s="44">
        <v>5406</v>
      </c>
      <c r="F46" s="41">
        <f t="shared" ref="F46" si="13">SUM(D46:E46)</f>
        <v>5406</v>
      </c>
      <c r="G46" s="44">
        <v>5406</v>
      </c>
    </row>
    <row r="47" spans="1:7">
      <c r="A47" s="61" t="s">
        <v>151</v>
      </c>
      <c r="B47" s="58"/>
      <c r="C47" s="58"/>
      <c r="D47" s="62">
        <f>SUM(D48)</f>
        <v>6238</v>
      </c>
      <c r="E47" s="62">
        <f t="shared" ref="E47:G47" si="14">SUM(E48)</f>
        <v>0</v>
      </c>
      <c r="F47" s="62">
        <f t="shared" si="14"/>
        <v>6238</v>
      </c>
      <c r="G47" s="62">
        <f t="shared" si="14"/>
        <v>4238</v>
      </c>
    </row>
    <row r="48" spans="1:7">
      <c r="A48" s="59" t="s">
        <v>152</v>
      </c>
      <c r="B48" s="60" t="s">
        <v>115</v>
      </c>
      <c r="C48" s="60"/>
      <c r="D48" s="44">
        <f>4238+2000</f>
        <v>6238</v>
      </c>
      <c r="E48" s="44"/>
      <c r="F48" s="41">
        <f t="shared" ref="F48" si="15">SUM(D48:E48)</f>
        <v>6238</v>
      </c>
      <c r="G48" s="44">
        <v>4238</v>
      </c>
    </row>
    <row r="49" spans="1:7">
      <c r="A49" s="61" t="s">
        <v>126</v>
      </c>
      <c r="B49" s="58"/>
      <c r="C49" s="58"/>
      <c r="D49" s="62">
        <f>SUM(D50:D51)</f>
        <v>29000</v>
      </c>
      <c r="E49" s="62">
        <f>SUM(E50:E51)</f>
        <v>0</v>
      </c>
      <c r="F49" s="41">
        <f t="shared" si="7"/>
        <v>29000</v>
      </c>
      <c r="G49" s="44">
        <f>SUM(G50:G51)</f>
        <v>0</v>
      </c>
    </row>
    <row r="50" spans="1:7">
      <c r="A50" s="59" t="s">
        <v>170</v>
      </c>
      <c r="B50" s="60" t="s">
        <v>115</v>
      </c>
      <c r="C50" s="60"/>
      <c r="D50" s="44">
        <f>-22000+41000</f>
        <v>19000</v>
      </c>
      <c r="E50" s="44"/>
      <c r="F50" s="41">
        <f t="shared" si="7"/>
        <v>19000</v>
      </c>
      <c r="G50" s="44"/>
    </row>
    <row r="51" spans="1:7">
      <c r="A51" s="59" t="s">
        <v>171</v>
      </c>
      <c r="B51" s="60" t="s">
        <v>115</v>
      </c>
      <c r="C51" s="60"/>
      <c r="D51" s="44">
        <v>10000</v>
      </c>
      <c r="E51" s="44"/>
      <c r="F51" s="41">
        <f t="shared" si="7"/>
        <v>10000</v>
      </c>
      <c r="G51" s="44"/>
    </row>
    <row r="52" spans="1:7" ht="21.75" customHeight="1">
      <c r="A52" s="63" t="s">
        <v>7</v>
      </c>
      <c r="B52" s="34"/>
      <c r="C52" s="34"/>
      <c r="D52" s="41">
        <f>SUM(D53)</f>
        <v>159400</v>
      </c>
      <c r="E52" s="41">
        <f>SUM(E53)</f>
        <v>147833</v>
      </c>
      <c r="F52" s="41">
        <f t="shared" si="7"/>
        <v>307233</v>
      </c>
      <c r="G52" s="41">
        <f>SUM(G53)</f>
        <v>77833</v>
      </c>
    </row>
    <row r="53" spans="1:7">
      <c r="A53" s="64" t="s">
        <v>127</v>
      </c>
      <c r="B53" s="65"/>
      <c r="C53" s="65"/>
      <c r="D53" s="62">
        <f>SUM(D54:D58)</f>
        <v>159400</v>
      </c>
      <c r="E53" s="62">
        <f t="shared" ref="E53:G53" si="16">SUM(E54:E58)</f>
        <v>147833</v>
      </c>
      <c r="F53" s="41">
        <f t="shared" si="7"/>
        <v>307233</v>
      </c>
      <c r="G53" s="62">
        <f t="shared" si="16"/>
        <v>77833</v>
      </c>
    </row>
    <row r="54" spans="1:7">
      <c r="A54" s="45" t="s">
        <v>167</v>
      </c>
      <c r="B54" s="81" t="s">
        <v>115</v>
      </c>
      <c r="C54" s="81"/>
      <c r="D54" s="44">
        <v>70000</v>
      </c>
      <c r="E54" s="44"/>
      <c r="F54" s="41">
        <f t="shared" si="7"/>
        <v>70000</v>
      </c>
      <c r="G54" s="44">
        <v>70000</v>
      </c>
    </row>
    <row r="55" spans="1:7">
      <c r="A55" s="45" t="s">
        <v>185</v>
      </c>
      <c r="B55" s="81" t="s">
        <v>115</v>
      </c>
      <c r="C55" s="81"/>
      <c r="D55" s="44">
        <f>7400+35000</f>
        <v>42400</v>
      </c>
      <c r="E55" s="44"/>
      <c r="F55" s="41">
        <f t="shared" si="7"/>
        <v>42400</v>
      </c>
      <c r="G55" s="44"/>
    </row>
    <row r="56" spans="1:7">
      <c r="A56" s="45" t="s">
        <v>186</v>
      </c>
      <c r="B56" s="81" t="s">
        <v>115</v>
      </c>
      <c r="C56" s="81"/>
      <c r="D56" s="44">
        <v>47000</v>
      </c>
      <c r="E56" s="44">
        <v>70000</v>
      </c>
      <c r="F56" s="41">
        <f t="shared" si="7"/>
        <v>117000</v>
      </c>
      <c r="G56" s="44"/>
    </row>
    <row r="57" spans="1:7">
      <c r="A57" s="45" t="s">
        <v>187</v>
      </c>
      <c r="B57" s="46" t="s">
        <v>115</v>
      </c>
      <c r="C57" s="46"/>
      <c r="D57" s="44"/>
      <c r="E57" s="44">
        <v>70000</v>
      </c>
      <c r="F57" s="41">
        <f t="shared" si="7"/>
        <v>70000</v>
      </c>
      <c r="G57" s="44"/>
    </row>
    <row r="58" spans="1:7">
      <c r="A58" s="45" t="s">
        <v>251</v>
      </c>
      <c r="B58" s="46" t="s">
        <v>115</v>
      </c>
      <c r="C58" s="46"/>
      <c r="D58" s="44"/>
      <c r="E58" s="44">
        <v>7833</v>
      </c>
      <c r="F58" s="41">
        <f t="shared" si="7"/>
        <v>7833</v>
      </c>
      <c r="G58" s="44">
        <v>7833</v>
      </c>
    </row>
    <row r="59" spans="1:7" ht="21.75" customHeight="1">
      <c r="A59" s="63" t="s">
        <v>128</v>
      </c>
      <c r="B59" s="34"/>
      <c r="C59" s="34"/>
      <c r="D59" s="41">
        <f>SUM(D60,D63,D67)</f>
        <v>62287</v>
      </c>
      <c r="E59" s="41">
        <f>SUM(E60)</f>
        <v>0</v>
      </c>
      <c r="F59" s="41">
        <f t="shared" si="7"/>
        <v>62287</v>
      </c>
      <c r="G59" s="44">
        <f>SUM(G60)</f>
        <v>0</v>
      </c>
    </row>
    <row r="60" spans="1:7" ht="19.5" customHeight="1">
      <c r="A60" s="61" t="s">
        <v>129</v>
      </c>
      <c r="B60" s="58"/>
      <c r="C60" s="58"/>
      <c r="D60" s="62">
        <f>SUM(D61:D62)</f>
        <v>12287</v>
      </c>
      <c r="E60" s="62">
        <f>SUM(E61:E62)</f>
        <v>0</v>
      </c>
      <c r="F60" s="62">
        <f t="shared" si="7"/>
        <v>12287</v>
      </c>
      <c r="G60" s="44">
        <f>SUM(G62)</f>
        <v>0</v>
      </c>
    </row>
    <row r="61" spans="1:7" ht="19.5" customHeight="1">
      <c r="A61" s="59" t="s">
        <v>130</v>
      </c>
      <c r="B61" s="60" t="s">
        <v>115</v>
      </c>
      <c r="C61" s="58"/>
      <c r="D61" s="44">
        <v>5305</v>
      </c>
      <c r="E61" s="62"/>
      <c r="F61" s="41">
        <f t="shared" si="7"/>
        <v>5305</v>
      </c>
      <c r="G61" s="44"/>
    </row>
    <row r="62" spans="1:7">
      <c r="A62" s="59" t="s">
        <v>188</v>
      </c>
      <c r="B62" s="60" t="s">
        <v>115</v>
      </c>
      <c r="C62" s="60"/>
      <c r="D62" s="44">
        <v>6982</v>
      </c>
      <c r="E62" s="41"/>
      <c r="F62" s="41">
        <f t="shared" si="7"/>
        <v>6982</v>
      </c>
      <c r="G62" s="44"/>
    </row>
    <row r="63" spans="1:7">
      <c r="A63" s="61" t="s">
        <v>189</v>
      </c>
      <c r="B63" s="58"/>
      <c r="C63" s="58"/>
      <c r="D63" s="62">
        <f>SUM(D64:D66)</f>
        <v>50000</v>
      </c>
      <c r="E63" s="62">
        <f>SUM(E65:E66)</f>
        <v>0</v>
      </c>
      <c r="F63" s="62">
        <f t="shared" ref="F63" si="17">SUM(D63:E63)</f>
        <v>50000</v>
      </c>
      <c r="G63" s="44">
        <f>SUM(G66)</f>
        <v>0</v>
      </c>
    </row>
    <row r="64" spans="1:7">
      <c r="A64" s="59" t="s">
        <v>198</v>
      </c>
      <c r="B64" s="60" t="s">
        <v>115</v>
      </c>
      <c r="C64" s="60"/>
      <c r="D64" s="44">
        <v>30000</v>
      </c>
      <c r="E64" s="44"/>
      <c r="F64" s="41">
        <f t="shared" ref="F64:F67" si="18">SUM(D64:E64)</f>
        <v>30000</v>
      </c>
      <c r="G64" s="44"/>
    </row>
    <row r="65" spans="1:7" ht="30">
      <c r="A65" s="59" t="s">
        <v>190</v>
      </c>
      <c r="B65" s="60" t="s">
        <v>115</v>
      </c>
      <c r="C65" s="58"/>
      <c r="D65" s="44">
        <v>10000</v>
      </c>
      <c r="E65" s="62"/>
      <c r="F65" s="41">
        <f t="shared" si="18"/>
        <v>10000</v>
      </c>
      <c r="G65" s="44"/>
    </row>
    <row r="66" spans="1:7">
      <c r="A66" s="59" t="s">
        <v>191</v>
      </c>
      <c r="B66" s="60" t="s">
        <v>115</v>
      </c>
      <c r="C66" s="60"/>
      <c r="D66" s="44">
        <v>10000</v>
      </c>
      <c r="E66" s="41"/>
      <c r="F66" s="41">
        <f t="shared" si="18"/>
        <v>10000</v>
      </c>
      <c r="G66" s="44"/>
    </row>
    <row r="67" spans="1:7">
      <c r="A67" s="61" t="s">
        <v>197</v>
      </c>
      <c r="B67" s="58"/>
      <c r="C67" s="58"/>
      <c r="D67" s="62">
        <f>SUM(D68:D72)</f>
        <v>0</v>
      </c>
      <c r="E67" s="62">
        <f>SUM(E68:E72)</f>
        <v>0</v>
      </c>
      <c r="F67" s="62">
        <f t="shared" si="18"/>
        <v>0</v>
      </c>
      <c r="G67" s="44">
        <f>SUM(G69)</f>
        <v>0</v>
      </c>
    </row>
    <row r="68" spans="1:7">
      <c r="A68" s="59" t="s">
        <v>192</v>
      </c>
      <c r="B68" s="60" t="s">
        <v>115</v>
      </c>
      <c r="C68" s="58"/>
      <c r="D68" s="44">
        <v>-15000</v>
      </c>
      <c r="E68" s="44"/>
      <c r="F68" s="41">
        <f t="shared" ref="F68:F72" si="19">SUM(D68:E68)</f>
        <v>-15000</v>
      </c>
      <c r="G68" s="44"/>
    </row>
    <row r="69" spans="1:7">
      <c r="A69" s="59" t="s">
        <v>194</v>
      </c>
      <c r="B69" s="60" t="s">
        <v>115</v>
      </c>
      <c r="C69" s="60"/>
      <c r="D69" s="44">
        <f>4000+6800</f>
        <v>10800</v>
      </c>
      <c r="E69" s="44"/>
      <c r="F69" s="41">
        <f t="shared" si="19"/>
        <v>10800</v>
      </c>
      <c r="G69" s="44"/>
    </row>
    <row r="70" spans="1:7">
      <c r="A70" s="59" t="s">
        <v>193</v>
      </c>
      <c r="B70" s="60" t="s">
        <v>115</v>
      </c>
      <c r="C70" s="60"/>
      <c r="D70" s="44">
        <v>4200</v>
      </c>
      <c r="E70" s="41"/>
      <c r="F70" s="41">
        <f t="shared" si="19"/>
        <v>4200</v>
      </c>
      <c r="G70" s="44"/>
    </row>
    <row r="71" spans="1:7">
      <c r="A71" s="59" t="s">
        <v>195</v>
      </c>
      <c r="B71" s="60" t="s">
        <v>115</v>
      </c>
      <c r="C71" s="60"/>
      <c r="D71" s="44">
        <v>-2500</v>
      </c>
      <c r="E71" s="41"/>
      <c r="F71" s="41">
        <f t="shared" si="19"/>
        <v>-2500</v>
      </c>
      <c r="G71" s="44"/>
    </row>
    <row r="72" spans="1:7" ht="30">
      <c r="A72" s="59" t="s">
        <v>196</v>
      </c>
      <c r="B72" s="60" t="s">
        <v>115</v>
      </c>
      <c r="C72" s="60"/>
      <c r="D72" s="44">
        <v>2500</v>
      </c>
      <c r="E72" s="41"/>
      <c r="F72" s="41">
        <f t="shared" si="19"/>
        <v>2500</v>
      </c>
      <c r="G72" s="44"/>
    </row>
    <row r="73" spans="1:7">
      <c r="A73" s="63" t="s">
        <v>131</v>
      </c>
      <c r="B73" s="34"/>
      <c r="C73" s="34"/>
      <c r="D73" s="41">
        <f>SUM(D74,D77,D79,D81,D83,D88,D90)</f>
        <v>245429</v>
      </c>
      <c r="E73" s="41">
        <f>SUM(E74,E77,E79,E83,E88,E90)</f>
        <v>37500</v>
      </c>
      <c r="F73" s="41">
        <f t="shared" si="7"/>
        <v>282929</v>
      </c>
      <c r="G73" s="41">
        <f>SUM(G74,G77,G79,G83,G88,G90)</f>
        <v>40900</v>
      </c>
    </row>
    <row r="74" spans="1:7">
      <c r="A74" s="66" t="s">
        <v>199</v>
      </c>
      <c r="B74" s="60"/>
      <c r="C74" s="60"/>
      <c r="D74" s="62">
        <f>SUM(D75:D76)</f>
        <v>43029</v>
      </c>
      <c r="E74" s="62">
        <f>SUM(E75:E76)</f>
        <v>0</v>
      </c>
      <c r="F74" s="62">
        <f t="shared" si="7"/>
        <v>43029</v>
      </c>
      <c r="G74" s="67">
        <f>SUM(G75)</f>
        <v>0</v>
      </c>
    </row>
    <row r="75" spans="1:7">
      <c r="A75" s="68" t="s">
        <v>200</v>
      </c>
      <c r="B75" s="60" t="s">
        <v>115</v>
      </c>
      <c r="C75" s="60"/>
      <c r="D75" s="44">
        <v>35000</v>
      </c>
      <c r="E75" s="44"/>
      <c r="F75" s="41">
        <f t="shared" si="7"/>
        <v>35000</v>
      </c>
      <c r="G75" s="44"/>
    </row>
    <row r="76" spans="1:7" ht="30">
      <c r="A76" s="68" t="s">
        <v>201</v>
      </c>
      <c r="B76" s="60" t="s">
        <v>117</v>
      </c>
      <c r="C76" s="60"/>
      <c r="D76" s="44">
        <v>8029</v>
      </c>
      <c r="E76" s="44"/>
      <c r="F76" s="41">
        <f t="shared" si="7"/>
        <v>8029</v>
      </c>
      <c r="G76" s="44"/>
    </row>
    <row r="77" spans="1:7">
      <c r="A77" s="61" t="s">
        <v>203</v>
      </c>
      <c r="B77" s="69"/>
      <c r="C77" s="69"/>
      <c r="D77" s="62">
        <f>SUM(D78)</f>
        <v>10000</v>
      </c>
      <c r="E77" s="62">
        <f>SUM(E78)</f>
        <v>0</v>
      </c>
      <c r="F77" s="62">
        <f t="shared" ref="F77:F78" si="20">SUM(D77:E77)</f>
        <v>10000</v>
      </c>
      <c r="G77" s="44">
        <f>SUM(G78)</f>
        <v>0</v>
      </c>
    </row>
    <row r="78" spans="1:7">
      <c r="A78" s="68" t="s">
        <v>205</v>
      </c>
      <c r="B78" s="60" t="s">
        <v>117</v>
      </c>
      <c r="C78" s="60"/>
      <c r="D78" s="44">
        <v>10000</v>
      </c>
      <c r="E78" s="44"/>
      <c r="F78" s="41">
        <f t="shared" si="20"/>
        <v>10000</v>
      </c>
      <c r="G78" s="44"/>
    </row>
    <row r="79" spans="1:7">
      <c r="A79" s="61" t="s">
        <v>132</v>
      </c>
      <c r="B79" s="69"/>
      <c r="C79" s="69"/>
      <c r="D79" s="62">
        <f>SUM(D80)</f>
        <v>70000</v>
      </c>
      <c r="E79" s="62">
        <f>SUM(E80)</f>
        <v>0</v>
      </c>
      <c r="F79" s="62">
        <f t="shared" si="7"/>
        <v>70000</v>
      </c>
      <c r="G79" s="44">
        <f>SUM(G80)</f>
        <v>0</v>
      </c>
    </row>
    <row r="80" spans="1:7">
      <c r="A80" s="68" t="s">
        <v>204</v>
      </c>
      <c r="B80" s="60" t="s">
        <v>115</v>
      </c>
      <c r="C80" s="60"/>
      <c r="D80" s="44">
        <v>70000</v>
      </c>
      <c r="E80" s="44"/>
      <c r="F80" s="41">
        <f t="shared" si="7"/>
        <v>70000</v>
      </c>
      <c r="G80" s="44"/>
    </row>
    <row r="81" spans="1:7">
      <c r="A81" s="61" t="s">
        <v>252</v>
      </c>
      <c r="B81" s="69"/>
      <c r="C81" s="69"/>
      <c r="D81" s="62">
        <f>SUM(D82)</f>
        <v>30000</v>
      </c>
      <c r="E81" s="62">
        <f>SUM(E82)</f>
        <v>0</v>
      </c>
      <c r="F81" s="62">
        <f t="shared" ref="F81:F82" si="21">SUM(D81:E81)</f>
        <v>30000</v>
      </c>
      <c r="G81" s="44">
        <f>SUM(G82)</f>
        <v>0</v>
      </c>
    </row>
    <row r="82" spans="1:7" ht="30">
      <c r="A82" s="68" t="s">
        <v>253</v>
      </c>
      <c r="B82" s="60" t="s">
        <v>115</v>
      </c>
      <c r="C82" s="60"/>
      <c r="D82" s="44">
        <v>30000</v>
      </c>
      <c r="E82" s="44"/>
      <c r="F82" s="41">
        <f t="shared" si="21"/>
        <v>30000</v>
      </c>
      <c r="G82" s="44"/>
    </row>
    <row r="83" spans="1:7">
      <c r="A83" s="61" t="s">
        <v>149</v>
      </c>
      <c r="B83" s="69"/>
      <c r="C83" s="69"/>
      <c r="D83" s="62">
        <f>SUM(D84:D87)</f>
        <v>73400</v>
      </c>
      <c r="E83" s="62">
        <f>SUM(E84:E87)</f>
        <v>37500</v>
      </c>
      <c r="F83" s="62">
        <f t="shared" ref="F83:F89" si="22">SUM(D83:E83)</f>
        <v>110900</v>
      </c>
      <c r="G83" s="41">
        <f>SUM(G84)</f>
        <v>40900</v>
      </c>
    </row>
    <row r="84" spans="1:7">
      <c r="A84" s="68" t="s">
        <v>150</v>
      </c>
      <c r="B84" s="60" t="s">
        <v>115</v>
      </c>
      <c r="C84" s="60"/>
      <c r="D84" s="44">
        <f>3400+45000</f>
        <v>48400</v>
      </c>
      <c r="E84" s="44">
        <v>37500</v>
      </c>
      <c r="F84" s="41">
        <f t="shared" si="22"/>
        <v>85900</v>
      </c>
      <c r="G84" s="44">
        <f>37500+3400</f>
        <v>40900</v>
      </c>
    </row>
    <row r="85" spans="1:7" ht="30">
      <c r="A85" s="68" t="s">
        <v>206</v>
      </c>
      <c r="B85" s="60" t="s">
        <v>117</v>
      </c>
      <c r="C85" s="60"/>
      <c r="D85" s="44">
        <v>15000</v>
      </c>
      <c r="E85" s="44"/>
      <c r="F85" s="41">
        <f t="shared" si="22"/>
        <v>15000</v>
      </c>
      <c r="G85" s="44"/>
    </row>
    <row r="86" spans="1:7" ht="30">
      <c r="A86" s="68" t="s">
        <v>207</v>
      </c>
      <c r="B86" s="60" t="s">
        <v>117</v>
      </c>
      <c r="C86" s="60"/>
      <c r="D86" s="44">
        <v>5000</v>
      </c>
      <c r="E86" s="44"/>
      <c r="F86" s="41">
        <f t="shared" si="22"/>
        <v>5000</v>
      </c>
      <c r="G86" s="44"/>
    </row>
    <row r="87" spans="1:7" ht="30">
      <c r="A87" s="68" t="s">
        <v>208</v>
      </c>
      <c r="B87" s="60" t="s">
        <v>117</v>
      </c>
      <c r="C87" s="60"/>
      <c r="D87" s="44">
        <v>5000</v>
      </c>
      <c r="E87" s="44"/>
      <c r="F87" s="41">
        <f t="shared" si="22"/>
        <v>5000</v>
      </c>
      <c r="G87" s="44"/>
    </row>
    <row r="88" spans="1:7">
      <c r="A88" s="61" t="s">
        <v>202</v>
      </c>
      <c r="B88" s="69"/>
      <c r="C88" s="69"/>
      <c r="D88" s="62">
        <f>SUM(D89)</f>
        <v>10000</v>
      </c>
      <c r="E88" s="62">
        <f>SUM(E89)</f>
        <v>0</v>
      </c>
      <c r="F88" s="62">
        <f t="shared" si="22"/>
        <v>10000</v>
      </c>
      <c r="G88" s="44"/>
    </row>
    <row r="89" spans="1:7" ht="30">
      <c r="A89" s="68" t="s">
        <v>258</v>
      </c>
      <c r="B89" s="60" t="s">
        <v>117</v>
      </c>
      <c r="C89" s="60"/>
      <c r="D89" s="44">
        <v>10000</v>
      </c>
      <c r="E89" s="44"/>
      <c r="F89" s="41">
        <f t="shared" si="22"/>
        <v>10000</v>
      </c>
      <c r="G89" s="44"/>
    </row>
    <row r="90" spans="1:7">
      <c r="A90" s="61" t="s">
        <v>209</v>
      </c>
      <c r="B90" s="69"/>
      <c r="C90" s="69"/>
      <c r="D90" s="62">
        <f>SUM(D91)</f>
        <v>9000</v>
      </c>
      <c r="E90" s="62">
        <f>SUM(E91)</f>
        <v>0</v>
      </c>
      <c r="F90" s="62">
        <f t="shared" ref="F90:F91" si="23">SUM(D90:E90)</f>
        <v>9000</v>
      </c>
      <c r="G90" s="44">
        <f>SUM(G91)</f>
        <v>0</v>
      </c>
    </row>
    <row r="91" spans="1:7">
      <c r="A91" s="68" t="s">
        <v>210</v>
      </c>
      <c r="B91" s="60" t="s">
        <v>115</v>
      </c>
      <c r="C91" s="60"/>
      <c r="D91" s="44">
        <v>9000</v>
      </c>
      <c r="E91" s="44"/>
      <c r="F91" s="41">
        <f t="shared" si="23"/>
        <v>9000</v>
      </c>
      <c r="G91" s="44"/>
    </row>
    <row r="92" spans="1:7" ht="21.75" customHeight="1">
      <c r="A92" s="63" t="s">
        <v>10</v>
      </c>
      <c r="B92" s="34"/>
      <c r="C92" s="34"/>
      <c r="D92" s="41">
        <f>SUM(D93,D102,D106,D109,D113,D115)</f>
        <v>847218</v>
      </c>
      <c r="E92" s="41">
        <f>SUM(E93,E102,E106,E109,E113,E115)</f>
        <v>400710</v>
      </c>
      <c r="F92" s="41">
        <f>SUM(F93,F102,F106,F109,F113,F115)</f>
        <v>1247928</v>
      </c>
      <c r="G92" s="41">
        <f>SUM(G93,G102,G106,G109,G113,G115)</f>
        <v>474328</v>
      </c>
    </row>
    <row r="93" spans="1:7">
      <c r="A93" s="64" t="s">
        <v>156</v>
      </c>
      <c r="B93" s="34"/>
      <c r="C93" s="34"/>
      <c r="D93" s="62">
        <f>SUM(D94:D101)</f>
        <v>320000</v>
      </c>
      <c r="E93" s="62">
        <f>SUM(E94:E101)</f>
        <v>93956</v>
      </c>
      <c r="F93" s="62">
        <f t="shared" si="7"/>
        <v>413956</v>
      </c>
      <c r="G93" s="62">
        <f>SUM(G94:G101)</f>
        <v>0</v>
      </c>
    </row>
    <row r="94" spans="1:7">
      <c r="A94" s="45" t="s">
        <v>212</v>
      </c>
      <c r="B94" s="46" t="s">
        <v>115</v>
      </c>
      <c r="C94" s="46"/>
      <c r="D94" s="44">
        <v>105000</v>
      </c>
      <c r="E94" s="44"/>
      <c r="F94" s="44">
        <f t="shared" si="7"/>
        <v>105000</v>
      </c>
      <c r="G94" s="44"/>
    </row>
    <row r="95" spans="1:7">
      <c r="A95" s="45" t="s">
        <v>211</v>
      </c>
      <c r="B95" s="46" t="s">
        <v>115</v>
      </c>
      <c r="C95" s="46"/>
      <c r="D95" s="44">
        <v>100000</v>
      </c>
      <c r="E95" s="44"/>
      <c r="F95" s="44">
        <f t="shared" si="7"/>
        <v>100000</v>
      </c>
      <c r="G95" s="44"/>
    </row>
    <row r="96" spans="1:7">
      <c r="A96" s="45" t="s">
        <v>257</v>
      </c>
      <c r="B96" s="46" t="s">
        <v>115</v>
      </c>
      <c r="C96" s="46"/>
      <c r="D96" s="44">
        <v>90000</v>
      </c>
      <c r="E96" s="44"/>
      <c r="F96" s="44"/>
      <c r="G96" s="44"/>
    </row>
    <row r="97" spans="1:7">
      <c r="A97" s="45" t="s">
        <v>133</v>
      </c>
      <c r="B97" s="46" t="s">
        <v>115</v>
      </c>
      <c r="C97" s="46"/>
      <c r="D97" s="44">
        <v>15000</v>
      </c>
      <c r="E97" s="44"/>
      <c r="F97" s="44">
        <f t="shared" si="7"/>
        <v>15000</v>
      </c>
      <c r="G97" s="44"/>
    </row>
    <row r="98" spans="1:7" ht="30">
      <c r="A98" s="45" t="s">
        <v>213</v>
      </c>
      <c r="B98" s="46" t="s">
        <v>115</v>
      </c>
      <c r="C98" s="46"/>
      <c r="D98" s="44">
        <v>10000</v>
      </c>
      <c r="E98" s="44">
        <v>31956</v>
      </c>
      <c r="F98" s="44">
        <f t="shared" si="7"/>
        <v>41956</v>
      </c>
      <c r="G98" s="44"/>
    </row>
    <row r="99" spans="1:7" ht="30">
      <c r="A99" s="45" t="s">
        <v>214</v>
      </c>
      <c r="B99" s="46" t="s">
        <v>115</v>
      </c>
      <c r="C99" s="46"/>
      <c r="D99" s="44"/>
      <c r="E99" s="44">
        <v>10000</v>
      </c>
      <c r="F99" s="44">
        <f t="shared" si="7"/>
        <v>10000</v>
      </c>
      <c r="G99" s="44"/>
    </row>
    <row r="100" spans="1:7" ht="30">
      <c r="A100" s="45" t="s">
        <v>215</v>
      </c>
      <c r="B100" s="46" t="s">
        <v>115</v>
      </c>
      <c r="C100" s="46"/>
      <c r="D100" s="44"/>
      <c r="E100" s="44">
        <v>15000</v>
      </c>
      <c r="F100" s="44">
        <f t="shared" si="7"/>
        <v>15000</v>
      </c>
      <c r="G100" s="44"/>
    </row>
    <row r="101" spans="1:7">
      <c r="A101" s="45" t="s">
        <v>216</v>
      </c>
      <c r="B101" s="46" t="s">
        <v>115</v>
      </c>
      <c r="C101" s="46"/>
      <c r="D101" s="44"/>
      <c r="E101" s="44">
        <v>37000</v>
      </c>
      <c r="F101" s="44">
        <f t="shared" si="7"/>
        <v>37000</v>
      </c>
      <c r="G101" s="44"/>
    </row>
    <row r="102" spans="1:7">
      <c r="A102" s="64" t="s">
        <v>157</v>
      </c>
      <c r="B102" s="34" t="s">
        <v>115</v>
      </c>
      <c r="C102" s="34"/>
      <c r="D102" s="62">
        <v>215739</v>
      </c>
      <c r="E102" s="62">
        <f>SUM(E103:E105)</f>
        <v>3195</v>
      </c>
      <c r="F102" s="62">
        <f t="shared" si="7"/>
        <v>218934</v>
      </c>
      <c r="G102" s="41">
        <f>SUM(G103:G105)</f>
        <v>3195</v>
      </c>
    </row>
    <row r="103" spans="1:7">
      <c r="A103" s="45" t="s">
        <v>218</v>
      </c>
      <c r="B103" s="46"/>
      <c r="C103" s="46"/>
      <c r="D103" s="44"/>
      <c r="E103" s="44"/>
      <c r="F103" s="44">
        <f t="shared" si="7"/>
        <v>0</v>
      </c>
      <c r="G103" s="44"/>
    </row>
    <row r="104" spans="1:7">
      <c r="A104" s="45" t="s">
        <v>217</v>
      </c>
      <c r="B104" s="46"/>
      <c r="C104" s="46"/>
      <c r="D104" s="44"/>
      <c r="E104" s="44"/>
      <c r="F104" s="44">
        <f t="shared" si="7"/>
        <v>0</v>
      </c>
      <c r="G104" s="44"/>
    </row>
    <row r="105" spans="1:7">
      <c r="A105" s="45" t="s">
        <v>134</v>
      </c>
      <c r="B105" s="46"/>
      <c r="C105" s="46"/>
      <c r="D105" s="44"/>
      <c r="E105" s="44">
        <v>3195</v>
      </c>
      <c r="F105" s="44">
        <f t="shared" si="7"/>
        <v>3195</v>
      </c>
      <c r="G105" s="44">
        <v>3195</v>
      </c>
    </row>
    <row r="106" spans="1:7" ht="30">
      <c r="A106" s="64" t="s">
        <v>158</v>
      </c>
      <c r="B106" s="34"/>
      <c r="C106" s="34"/>
      <c r="D106" s="62">
        <f>SUM(D107:D108)</f>
        <v>39000</v>
      </c>
      <c r="E106" s="62">
        <f>SUM(E107:E108)</f>
        <v>9960</v>
      </c>
      <c r="F106" s="62">
        <f t="shared" ref="F106:F108" si="24">SUM(D106:E106)</f>
        <v>48960</v>
      </c>
      <c r="G106" s="41">
        <f>SUM(G107:G108)</f>
        <v>9960</v>
      </c>
    </row>
    <row r="107" spans="1:7">
      <c r="A107" s="45" t="s">
        <v>219</v>
      </c>
      <c r="B107" s="46" t="s">
        <v>115</v>
      </c>
      <c r="C107" s="46"/>
      <c r="D107" s="44">
        <v>30000</v>
      </c>
      <c r="E107" s="44">
        <v>9960</v>
      </c>
      <c r="F107" s="44">
        <f t="shared" si="24"/>
        <v>39960</v>
      </c>
      <c r="G107" s="44">
        <v>9960</v>
      </c>
    </row>
    <row r="108" spans="1:7">
      <c r="A108" s="45" t="s">
        <v>220</v>
      </c>
      <c r="B108" s="46" t="s">
        <v>117</v>
      </c>
      <c r="C108" s="46"/>
      <c r="D108" s="44">
        <v>9000</v>
      </c>
      <c r="E108" s="44"/>
      <c r="F108" s="44">
        <f t="shared" si="24"/>
        <v>9000</v>
      </c>
      <c r="G108" s="44"/>
    </row>
    <row r="109" spans="1:7">
      <c r="A109" s="70" t="s">
        <v>135</v>
      </c>
      <c r="B109" s="73"/>
      <c r="C109" s="73"/>
      <c r="D109" s="71">
        <f>SUM(D110:D112)</f>
        <v>30739</v>
      </c>
      <c r="E109" s="71">
        <f>SUM(E110:E112)</f>
        <v>293599</v>
      </c>
      <c r="F109" s="62">
        <f t="shared" si="7"/>
        <v>324338</v>
      </c>
      <c r="G109" s="71">
        <f>SUM(G110:G112)</f>
        <v>293599</v>
      </c>
    </row>
    <row r="110" spans="1:7">
      <c r="A110" s="72" t="s">
        <v>159</v>
      </c>
      <c r="B110" s="73" t="s">
        <v>115</v>
      </c>
      <c r="C110" s="73"/>
      <c r="D110" s="74">
        <v>30739</v>
      </c>
      <c r="E110" s="44">
        <v>200000</v>
      </c>
      <c r="F110" s="44">
        <f t="shared" si="7"/>
        <v>230739</v>
      </c>
      <c r="G110" s="44">
        <v>200000</v>
      </c>
    </row>
    <row r="111" spans="1:7" ht="30">
      <c r="A111" s="72" t="s">
        <v>160</v>
      </c>
      <c r="B111" s="73" t="s">
        <v>115</v>
      </c>
      <c r="C111" s="73"/>
      <c r="D111" s="74"/>
      <c r="E111" s="44">
        <v>40000</v>
      </c>
      <c r="F111" s="44">
        <f t="shared" si="7"/>
        <v>40000</v>
      </c>
      <c r="G111" s="44">
        <v>40000</v>
      </c>
    </row>
    <row r="112" spans="1:7">
      <c r="A112" s="72" t="s">
        <v>136</v>
      </c>
      <c r="B112" s="73" t="s">
        <v>115</v>
      </c>
      <c r="C112" s="73"/>
      <c r="D112" s="74"/>
      <c r="E112" s="44">
        <v>53599</v>
      </c>
      <c r="F112" s="44">
        <f t="shared" si="7"/>
        <v>53599</v>
      </c>
      <c r="G112" s="44">
        <v>53599</v>
      </c>
    </row>
    <row r="113" spans="1:7">
      <c r="A113" s="70" t="s">
        <v>137</v>
      </c>
      <c r="B113" s="73"/>
      <c r="C113" s="73"/>
      <c r="D113" s="71">
        <f>SUM(D114)</f>
        <v>43166</v>
      </c>
      <c r="E113" s="71">
        <f>SUM(E114)</f>
        <v>0</v>
      </c>
      <c r="F113" s="62">
        <f t="shared" si="7"/>
        <v>43166</v>
      </c>
      <c r="G113" s="71">
        <f>SUM(G114)</f>
        <v>0</v>
      </c>
    </row>
    <row r="114" spans="1:7">
      <c r="A114" s="72" t="s">
        <v>138</v>
      </c>
      <c r="B114" s="73" t="s">
        <v>115</v>
      </c>
      <c r="C114" s="73"/>
      <c r="D114" s="74">
        <v>43166</v>
      </c>
      <c r="E114" s="75"/>
      <c r="F114" s="44">
        <f t="shared" si="7"/>
        <v>43166</v>
      </c>
      <c r="G114" s="44"/>
    </row>
    <row r="115" spans="1:7">
      <c r="A115" s="70" t="s">
        <v>139</v>
      </c>
      <c r="B115" s="80"/>
      <c r="C115" s="80"/>
      <c r="D115" s="71">
        <f>SUM(D116:D118)</f>
        <v>198574</v>
      </c>
      <c r="E115" s="71">
        <f t="shared" ref="E115:G115" si="25">SUM(E116:E118)</f>
        <v>0</v>
      </c>
      <c r="F115" s="71">
        <f t="shared" si="25"/>
        <v>198574</v>
      </c>
      <c r="G115" s="71">
        <f t="shared" si="25"/>
        <v>167574</v>
      </c>
    </row>
    <row r="116" spans="1:7">
      <c r="A116" s="72" t="s">
        <v>221</v>
      </c>
      <c r="B116" s="73" t="s">
        <v>115</v>
      </c>
      <c r="C116" s="73"/>
      <c r="D116" s="74">
        <v>15000</v>
      </c>
      <c r="E116" s="74"/>
      <c r="F116" s="44">
        <f t="shared" si="7"/>
        <v>15000</v>
      </c>
      <c r="G116" s="41"/>
    </row>
    <row r="117" spans="1:7" ht="30">
      <c r="A117" s="72" t="s">
        <v>222</v>
      </c>
      <c r="B117" s="73" t="s">
        <v>115</v>
      </c>
      <c r="C117" s="73"/>
      <c r="D117" s="74">
        <v>16000</v>
      </c>
      <c r="E117" s="74"/>
      <c r="F117" s="44">
        <f t="shared" si="7"/>
        <v>16000</v>
      </c>
      <c r="G117" s="41"/>
    </row>
    <row r="118" spans="1:7">
      <c r="A118" s="72" t="s">
        <v>140</v>
      </c>
      <c r="B118" s="73" t="s">
        <v>115</v>
      </c>
      <c r="C118" s="73"/>
      <c r="D118" s="74">
        <v>167574</v>
      </c>
      <c r="E118" s="75"/>
      <c r="F118" s="44">
        <f t="shared" si="7"/>
        <v>167574</v>
      </c>
      <c r="G118" s="44">
        <f>167574</f>
        <v>167574</v>
      </c>
    </row>
    <row r="119" spans="1:7" ht="22.5" customHeight="1">
      <c r="A119" s="63" t="s">
        <v>11</v>
      </c>
      <c r="B119" s="34"/>
      <c r="C119" s="34"/>
      <c r="D119" s="41">
        <f>SUM(D120,D122)</f>
        <v>28000</v>
      </c>
      <c r="E119" s="41">
        <f>SUM(E120)</f>
        <v>0</v>
      </c>
      <c r="F119" s="41">
        <f t="shared" si="7"/>
        <v>28000</v>
      </c>
      <c r="G119" s="44">
        <f>SUM(G120)</f>
        <v>0</v>
      </c>
    </row>
    <row r="120" spans="1:7">
      <c r="A120" s="64" t="s">
        <v>223</v>
      </c>
      <c r="B120" s="65"/>
      <c r="C120" s="65"/>
      <c r="D120" s="62">
        <f>SUM(D121)</f>
        <v>10000</v>
      </c>
      <c r="E120" s="62">
        <v>0</v>
      </c>
      <c r="F120" s="62">
        <f t="shared" si="7"/>
        <v>10000</v>
      </c>
      <c r="G120" s="67">
        <f>SUM(G121)</f>
        <v>0</v>
      </c>
    </row>
    <row r="121" spans="1:7" ht="30">
      <c r="A121" s="45" t="s">
        <v>224</v>
      </c>
      <c r="B121" s="46" t="s">
        <v>115</v>
      </c>
      <c r="C121" s="46"/>
      <c r="D121" s="76">
        <v>10000</v>
      </c>
      <c r="E121" s="76"/>
      <c r="F121" s="44">
        <f t="shared" si="7"/>
        <v>10000</v>
      </c>
      <c r="G121" s="44"/>
    </row>
    <row r="122" spans="1:7">
      <c r="A122" s="64" t="s">
        <v>225</v>
      </c>
      <c r="B122" s="65"/>
      <c r="C122" s="65"/>
      <c r="D122" s="62">
        <f>SUM(D123)</f>
        <v>18000</v>
      </c>
      <c r="E122" s="62">
        <v>0</v>
      </c>
      <c r="F122" s="62">
        <f t="shared" ref="F122:F123" si="26">SUM(D122:E122)</f>
        <v>18000</v>
      </c>
      <c r="G122" s="67">
        <f>SUM(G123)</f>
        <v>0</v>
      </c>
    </row>
    <row r="123" spans="1:7">
      <c r="A123" s="45" t="s">
        <v>226</v>
      </c>
      <c r="B123" s="46" t="s">
        <v>117</v>
      </c>
      <c r="C123" s="46"/>
      <c r="D123" s="76">
        <v>18000</v>
      </c>
      <c r="E123" s="76"/>
      <c r="F123" s="44">
        <f t="shared" si="26"/>
        <v>18000</v>
      </c>
      <c r="G123" s="44"/>
    </row>
  </sheetData>
  <mergeCells count="11">
    <mergeCell ref="A10:F10"/>
    <mergeCell ref="A12:A13"/>
    <mergeCell ref="D12:E12"/>
    <mergeCell ref="F12:F13"/>
    <mergeCell ref="G12:G13"/>
    <mergeCell ref="A1:G1"/>
    <mergeCell ref="A2:G2"/>
    <mergeCell ref="G4:G5"/>
    <mergeCell ref="A4:A5"/>
    <mergeCell ref="D4:E4"/>
    <mergeCell ref="F4:F5"/>
  </mergeCells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 xml:space="preserve">&amp;RLisa 4
Tartu Linnavolikogu  ... 2015. a 
määruse nr juurde </oddHeader>
    <oddFooter xml:space="preserve">&amp;C&amp;P+5
</oddFooter>
    <firstFooter>&amp;C&amp;N+4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Lisa 1</vt:lpstr>
      <vt:lpstr>Lisa 2</vt:lpstr>
      <vt:lpstr>Lisa 3</vt:lpstr>
      <vt:lpstr>Lisa 4</vt:lpstr>
      <vt:lpstr>'Lisa 3'!Print_Titles</vt:lpstr>
      <vt:lpstr>'Lisa 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2015-04-02T04:26:03Z</dcterms:modified>
</cp:coreProperties>
</file>